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col (Int)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<sst xmlns="http://schemas.openxmlformats.org/spreadsheetml/2006/main" count="98" uniqueCount="71">
  <si>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CUADRO No. 19-4</t>
  </si>
  <si>
    <t>BANCOLOMBIA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</si>
  <si>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</si>
  <si>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</si>
  <si>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</si>
  <si>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</si>
  <si>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</si>
  <si>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</si>
  <si>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</si>
  <si>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</si>
  <si>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</si>
  <si>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</si>
  <si>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</si>
  <si>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</si>
  <si>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</si>
  <si>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</si>
  <si>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</si>
  <si>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</si>
  <si>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</si>
  <si>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</si>
  <si>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</si>
  <si>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</si>
  <si>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</si>
  <si>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</si>
  <si>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</si>
  <si>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</si>
  <si>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</si>
  <si>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</si>
  <si>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</si>
  <si>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</si>
  <si>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</si>
  <si>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</si>
  <si>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</si>
  <si>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</si>
  <si>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</si>
  <si>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</si>
  <si>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</si>
  <si>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</si>
  <si>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</si>
  <si>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</si>
  <si>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</si>
  <si>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</si>
  <si>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</si>
  <si>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</si>
  <si>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</si>
  <si>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</si>
  <si>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</si>
  <si>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</si>
  <si>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</si>
  <si>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</si>
  <si>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</si>
  <si>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</si>
  <si>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</si>
  <si>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</si>
  <si>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</si>
  <si>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</si>
  <si>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</si>
  <si>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</si>
  <si>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</si>
  <si>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</si>
  <si>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</si>
  <si>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</si>
  <si>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</si>
  <si>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</si>
  <si>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</si>
  <si>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</si>
  <si>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</si>
  <si>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</si>
  <si>
    <t>NOTA:</t>
  </si>
  <si>
    <t>(1) El  número de empleados considerados corresponde al Banco con Licencia General.</t>
  </si>
  <si>
    <r>
      <t xml:space="preserve">Número de Empleados </t>
    </r>
    <r>
      <rPr>
        <b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</si>
</sst>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43" fontId="2" fillId="0" borderId="0" xfId="15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179" fontId="2" fillId="0" borderId="4" xfId="15" applyNumberFormat="1" applyFont="1" applyFill="1" applyBorder="1" applyAlignment="1">
      <alignment/>
    </xf>
    <xf numFmtId="179" fontId="2" fillId="0" borderId="0" xfId="15" applyNumberFormat="1" applyFont="1" applyAlignment="1">
      <alignment horizontal="right"/>
    </xf>
    <xf numFmtId="179" fontId="2" fillId="0" borderId="6" xfId="15" applyNumberFormat="1" applyFont="1" applyFill="1" applyBorder="1" applyAlignment="1">
      <alignment/>
    </xf>
    <xf numFmtId="179" fontId="2" fillId="0" borderId="1" xfId="15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0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Fill="1" applyAlignment="1">
      <alignment/>
    </xf>
    <xf numFmtId="10" fontId="2" fillId="0" borderId="4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0" xfId="19" applyNumberFormat="1" applyFont="1" applyAlignment="1">
      <alignment horizontal="right"/>
    </xf>
    <xf numFmtId="10" fontId="2" fillId="0" borderId="5" xfId="19" applyNumberFormat="1" applyFont="1" applyFill="1" applyBorder="1" applyAlignment="1">
      <alignment/>
    </xf>
    <xf numFmtId="10" fontId="2" fillId="0" borderId="1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3.421875" style="1" customWidth="1"/>
    <col min="2" max="2" width="31.00390625" style="1" customWidth="1"/>
    <col min="3" max="3" width="8.57421875" style="1" customWidth="1"/>
    <col min="4" max="4" width="9.8515625" style="1" customWidth="1"/>
    <col min="5" max="5" width="7.7109375" style="1" bestFit="1" customWidth="1"/>
    <col min="6" max="6" width="8.00390625" style="1" customWidth="1"/>
    <col min="7" max="7" width="8.421875" style="1" customWidth="1"/>
    <col min="8" max="8" width="9.8515625" style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8"/>
      <c r="C2" s="48"/>
      <c r="D2" s="48"/>
      <c r="E2" s="48"/>
      <c r="F2" s="48"/>
      <c r="G2" s="48" t="s">
        <v>0</v>
      </c>
      <c r="H2" s="48"/>
      <c r="I2" s="48"/>
      <c r="J2" s="48"/>
      <c r="K2" s="48"/>
      <c r="L2" s="48"/>
    </row>
    <row r="3" spans="2:12" ht="11.25">
      <c r="B3" s="48"/>
      <c r="C3" s="48"/>
      <c r="D3" s="48"/>
      <c r="E3" s="48"/>
      <c r="F3" s="48"/>
      <c r="G3" s="48" t="s">
        <v>1</v>
      </c>
      <c r="H3" s="48"/>
      <c r="I3" s="48"/>
      <c r="J3" s="48"/>
      <c r="K3" s="48"/>
      <c r="L3" s="48"/>
    </row>
    <row r="4" spans="2:12" ht="11.25">
      <c r="B4" s="48"/>
      <c r="C4" s="48"/>
      <c r="D4" s="48"/>
      <c r="E4" s="48"/>
      <c r="F4" s="48"/>
      <c r="G4" s="48" t="s">
        <v>2</v>
      </c>
      <c r="H4" s="48"/>
      <c r="I4" s="48"/>
      <c r="J4" s="48"/>
      <c r="K4" s="48"/>
      <c r="L4" s="48"/>
    </row>
    <row r="5" spans="2:12" ht="11.25">
      <c r="B5" s="47"/>
      <c r="C5" s="47"/>
      <c r="D5" s="47"/>
      <c r="E5" s="47"/>
      <c r="F5" s="47"/>
      <c r="G5" s="47" t="s">
        <v>3</v>
      </c>
      <c r="H5" s="47"/>
      <c r="I5" s="47"/>
      <c r="J5" s="47"/>
      <c r="K5" s="47"/>
      <c r="L5" s="47"/>
    </row>
    <row r="6" spans="1:12" ht="11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5">
        <v>2001</v>
      </c>
      <c r="D8" s="55"/>
      <c r="E8" s="55"/>
      <c r="F8" s="56"/>
      <c r="G8" s="54">
        <v>2000</v>
      </c>
      <c r="H8" s="55"/>
      <c r="I8" s="55"/>
      <c r="J8" s="56"/>
      <c r="K8" s="55" t="s">
        <v>4</v>
      </c>
      <c r="L8" s="55"/>
    </row>
    <row r="9" spans="1:12" s="4" customFormat="1" ht="11.25">
      <c r="A9" s="49"/>
      <c r="B9" s="49"/>
      <c r="C9" s="50" t="s">
        <v>5</v>
      </c>
      <c r="D9" s="50" t="s">
        <v>6</v>
      </c>
      <c r="E9" s="49" t="s">
        <v>7</v>
      </c>
      <c r="F9" s="49" t="s">
        <v>8</v>
      </c>
      <c r="G9" s="51" t="s">
        <v>5</v>
      </c>
      <c r="H9" s="50" t="s">
        <v>6</v>
      </c>
      <c r="I9" s="50" t="s">
        <v>7</v>
      </c>
      <c r="J9" s="52" t="s">
        <v>8</v>
      </c>
      <c r="K9" s="53" t="s">
        <v>9</v>
      </c>
      <c r="L9" s="53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754818</v>
      </c>
      <c r="D11" s="9">
        <v>654267</v>
      </c>
      <c r="E11" s="9">
        <v>608242</v>
      </c>
      <c r="F11" s="9">
        <v>573731</v>
      </c>
      <c r="G11" s="10">
        <v>527428</v>
      </c>
      <c r="H11" s="11">
        <v>421811</v>
      </c>
      <c r="I11" s="11">
        <v>410257</v>
      </c>
      <c r="J11" s="12">
        <v>385693</v>
      </c>
      <c r="K11" s="9">
        <v>398720</v>
      </c>
      <c r="L11" s="9">
        <v>317161</v>
      </c>
    </row>
    <row r="12" spans="1:12" ht="11.25">
      <c r="A12" s="1" t="s">
        <v>13</v>
      </c>
      <c r="C12" s="9">
        <v>32632</v>
      </c>
      <c r="D12" s="9">
        <v>55513</v>
      </c>
      <c r="E12" s="9">
        <v>12551</v>
      </c>
      <c r="F12" s="9">
        <v>8131</v>
      </c>
      <c r="G12" s="10">
        <v>24334</v>
      </c>
      <c r="H12" s="11">
        <v>50236</v>
      </c>
      <c r="I12" s="11">
        <v>8894</v>
      </c>
      <c r="J12" s="12">
        <v>5018</v>
      </c>
      <c r="K12" s="9">
        <v>7935</v>
      </c>
      <c r="L12" s="9">
        <v>24011</v>
      </c>
    </row>
    <row r="13" spans="1:12" ht="11.25">
      <c r="A13" s="1" t="s">
        <v>14</v>
      </c>
      <c r="C13" s="9">
        <f aca="true" t="shared" si="0" ref="C13:L13">C14+C15</f>
        <v>257978</v>
      </c>
      <c r="D13" s="9">
        <f t="shared" si="0"/>
        <v>275945</v>
      </c>
      <c r="E13" s="9">
        <f t="shared" si="0"/>
        <v>342542</v>
      </c>
      <c r="F13" s="9">
        <f t="shared" si="0"/>
        <v>304367</v>
      </c>
      <c r="G13" s="10">
        <f t="shared" si="0"/>
        <v>256154</v>
      </c>
      <c r="H13" s="11">
        <f t="shared" si="0"/>
        <v>147948</v>
      </c>
      <c r="I13" s="11">
        <f t="shared" si="0"/>
        <v>189126</v>
      </c>
      <c r="J13" s="12">
        <f t="shared" si="0"/>
        <v>188565</v>
      </c>
      <c r="K13" s="9">
        <f t="shared" si="0"/>
        <v>208891</v>
      </c>
      <c r="L13" s="9">
        <f t="shared" si="0"/>
        <v>141893</v>
      </c>
    </row>
    <row r="14" spans="2:12" ht="11.25">
      <c r="B14" s="1" t="s">
        <v>15</v>
      </c>
      <c r="C14" s="13">
        <v>0</v>
      </c>
      <c r="D14" s="9">
        <v>0</v>
      </c>
      <c r="E14" s="9">
        <v>0</v>
      </c>
      <c r="F14" s="9">
        <v>0</v>
      </c>
      <c r="G14" s="10">
        <v>0</v>
      </c>
      <c r="H14" s="11">
        <v>0</v>
      </c>
      <c r="I14" s="11">
        <v>0</v>
      </c>
      <c r="J14" s="12">
        <v>0</v>
      </c>
      <c r="K14" s="9">
        <v>0</v>
      </c>
      <c r="L14" s="9">
        <v>0</v>
      </c>
    </row>
    <row r="15" spans="2:12" ht="11.25">
      <c r="B15" s="1" t="s">
        <v>16</v>
      </c>
      <c r="C15" s="9">
        <v>257978</v>
      </c>
      <c r="D15" s="9">
        <v>275945</v>
      </c>
      <c r="E15" s="9">
        <v>342542</v>
      </c>
      <c r="F15" s="9">
        <v>304367</v>
      </c>
      <c r="G15" s="10">
        <v>256154</v>
      </c>
      <c r="H15" s="11">
        <v>147948</v>
      </c>
      <c r="I15" s="11">
        <v>189126</v>
      </c>
      <c r="J15" s="12">
        <v>188565</v>
      </c>
      <c r="K15" s="9">
        <v>208891</v>
      </c>
      <c r="L15" s="9">
        <v>141893</v>
      </c>
    </row>
    <row r="16" spans="1:12" ht="11.25">
      <c r="A16" s="1" t="s">
        <v>17</v>
      </c>
      <c r="C16" s="9">
        <v>407365</v>
      </c>
      <c r="D16" s="9">
        <v>269673</v>
      </c>
      <c r="E16" s="9">
        <v>203887</v>
      </c>
      <c r="F16" s="9">
        <v>211212</v>
      </c>
      <c r="G16" s="10">
        <v>192446</v>
      </c>
      <c r="H16" s="11">
        <v>168948</v>
      </c>
      <c r="I16" s="11">
        <v>157759</v>
      </c>
      <c r="J16" s="12">
        <v>126221</v>
      </c>
      <c r="K16" s="9">
        <v>118791</v>
      </c>
      <c r="L16" s="9">
        <v>84161</v>
      </c>
    </row>
    <row r="17" spans="1:12" ht="11.25">
      <c r="A17" s="1" t="s">
        <v>18</v>
      </c>
      <c r="C17" s="9">
        <f aca="true" t="shared" si="1" ref="C17:L17">C18+C22</f>
        <v>525691</v>
      </c>
      <c r="D17" s="9">
        <f t="shared" si="1"/>
        <v>491408</v>
      </c>
      <c r="E17" s="9">
        <f t="shared" si="1"/>
        <v>478087</v>
      </c>
      <c r="F17" s="9">
        <f t="shared" si="1"/>
        <v>474624</v>
      </c>
      <c r="G17" s="10">
        <f t="shared" si="1"/>
        <v>451745</v>
      </c>
      <c r="H17" s="11">
        <f t="shared" si="1"/>
        <v>392704</v>
      </c>
      <c r="I17" s="11">
        <f t="shared" si="1"/>
        <v>376781</v>
      </c>
      <c r="J17" s="12">
        <f t="shared" si="1"/>
        <v>364478</v>
      </c>
      <c r="K17" s="9">
        <f t="shared" si="1"/>
        <v>376150</v>
      </c>
      <c r="L17" s="9">
        <f t="shared" si="1"/>
        <v>259851</v>
      </c>
    </row>
    <row r="18" spans="2:12" ht="11.25">
      <c r="B18" s="1" t="s">
        <v>15</v>
      </c>
      <c r="C18" s="13">
        <v>0</v>
      </c>
      <c r="D18" s="9">
        <f aca="true" t="shared" si="2" ref="D18:L18">SUM(D19:D21)</f>
        <v>0</v>
      </c>
      <c r="E18" s="9">
        <f t="shared" si="2"/>
        <v>0</v>
      </c>
      <c r="F18" s="9">
        <f t="shared" si="2"/>
        <v>0</v>
      </c>
      <c r="G18" s="10">
        <f t="shared" si="2"/>
        <v>0</v>
      </c>
      <c r="H18" s="11">
        <f t="shared" si="2"/>
        <v>0</v>
      </c>
      <c r="I18" s="11">
        <f t="shared" si="2"/>
        <v>0</v>
      </c>
      <c r="J18" s="12">
        <f t="shared" si="2"/>
        <v>0</v>
      </c>
      <c r="K18" s="9">
        <f t="shared" si="2"/>
        <v>0</v>
      </c>
      <c r="L18" s="9">
        <f t="shared" si="2"/>
        <v>0</v>
      </c>
    </row>
    <row r="19" spans="2:12" ht="11.25">
      <c r="B19" s="1" t="s">
        <v>19</v>
      </c>
      <c r="C19" s="13">
        <v>0</v>
      </c>
      <c r="D19" s="9">
        <v>0</v>
      </c>
      <c r="E19" s="9">
        <v>0</v>
      </c>
      <c r="F19" s="9">
        <v>0</v>
      </c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C20" s="13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11">
        <v>0</v>
      </c>
      <c r="J20" s="12">
        <v>0</v>
      </c>
      <c r="K20" s="9">
        <v>0</v>
      </c>
      <c r="L20" s="9">
        <v>0</v>
      </c>
    </row>
    <row r="21" spans="2:12" ht="11.25">
      <c r="B21" s="1" t="s">
        <v>21</v>
      </c>
      <c r="C21" s="13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11">
        <v>0</v>
      </c>
      <c r="J21" s="12">
        <v>0</v>
      </c>
      <c r="K21" s="9">
        <v>0</v>
      </c>
      <c r="L21" s="9">
        <v>0</v>
      </c>
    </row>
    <row r="22" spans="2:12" ht="11.25">
      <c r="B22" s="1" t="s">
        <v>16</v>
      </c>
      <c r="C22" s="9">
        <f aca="true" t="shared" si="3" ref="C22:L22">SUM(C23:C24)</f>
        <v>525691</v>
      </c>
      <c r="D22" s="9">
        <f t="shared" si="3"/>
        <v>491408</v>
      </c>
      <c r="E22" s="9">
        <f t="shared" si="3"/>
        <v>478087</v>
      </c>
      <c r="F22" s="9">
        <f t="shared" si="3"/>
        <v>474624</v>
      </c>
      <c r="G22" s="10">
        <f t="shared" si="3"/>
        <v>451745</v>
      </c>
      <c r="H22" s="11">
        <f t="shared" si="3"/>
        <v>392704</v>
      </c>
      <c r="I22" s="11">
        <f t="shared" si="3"/>
        <v>376781</v>
      </c>
      <c r="J22" s="12">
        <f t="shared" si="3"/>
        <v>364478</v>
      </c>
      <c r="K22" s="9">
        <f t="shared" si="3"/>
        <v>376150</v>
      </c>
      <c r="L22" s="9">
        <f t="shared" si="3"/>
        <v>259851</v>
      </c>
    </row>
    <row r="23" spans="2:12" ht="11.25">
      <c r="B23" s="1" t="s">
        <v>20</v>
      </c>
      <c r="C23" s="9">
        <f>34452+474311</f>
        <v>508763</v>
      </c>
      <c r="D23" s="9">
        <f>37691+446512</f>
        <v>484203</v>
      </c>
      <c r="E23" s="9">
        <v>467875</v>
      </c>
      <c r="F23" s="9">
        <v>468189</v>
      </c>
      <c r="G23" s="10">
        <f>23647+410389</f>
        <v>434036</v>
      </c>
      <c r="H23" s="11">
        <v>386451</v>
      </c>
      <c r="I23" s="11">
        <v>366350</v>
      </c>
      <c r="J23" s="12">
        <v>359277</v>
      </c>
      <c r="K23" s="9">
        <v>370521</v>
      </c>
      <c r="L23" s="9">
        <v>259851</v>
      </c>
    </row>
    <row r="24" spans="2:12" ht="11.25">
      <c r="B24" s="1" t="s">
        <v>21</v>
      </c>
      <c r="C24" s="9">
        <f>12826+4102</f>
        <v>16928</v>
      </c>
      <c r="D24" s="9">
        <f>881+6324</f>
        <v>7205</v>
      </c>
      <c r="E24" s="9">
        <v>10212</v>
      </c>
      <c r="F24" s="9">
        <v>6435</v>
      </c>
      <c r="G24" s="10">
        <f>9759+7950</f>
        <v>17709</v>
      </c>
      <c r="H24" s="11">
        <v>6253</v>
      </c>
      <c r="I24" s="11">
        <v>10431</v>
      </c>
      <c r="J24" s="12">
        <v>5201</v>
      </c>
      <c r="K24" s="9">
        <v>5629</v>
      </c>
      <c r="L24" s="9">
        <v>0</v>
      </c>
    </row>
    <row r="25" spans="1:12" ht="11.25">
      <c r="A25" s="2" t="s">
        <v>22</v>
      </c>
      <c r="B25" s="2"/>
      <c r="C25" s="14">
        <v>32680</v>
      </c>
      <c r="D25" s="14">
        <v>19953</v>
      </c>
      <c r="E25" s="14">
        <v>9991</v>
      </c>
      <c r="F25" s="14">
        <v>7406</v>
      </c>
      <c r="G25" s="15">
        <v>6327</v>
      </c>
      <c r="H25" s="14">
        <v>4828</v>
      </c>
      <c r="I25" s="14">
        <v>9947</v>
      </c>
      <c r="J25" s="16">
        <v>4633</v>
      </c>
      <c r="K25" s="14">
        <v>6351</v>
      </c>
      <c r="L25" s="14">
        <v>5529</v>
      </c>
    </row>
    <row r="26" spans="1:12" ht="11.25">
      <c r="A26" s="4" t="s">
        <v>23</v>
      </c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641123</v>
      </c>
      <c r="D27" s="9">
        <f>(D11+H11)/2</f>
        <v>538039</v>
      </c>
      <c r="E27" s="9">
        <f>(E11+I11)/2</f>
        <v>509249.5</v>
      </c>
      <c r="F27" s="9">
        <f>+(F11+J11)/2</f>
        <v>479712</v>
      </c>
      <c r="G27" s="10">
        <f>+(G11+K11)/2</f>
        <v>463074</v>
      </c>
      <c r="H27" s="11">
        <f>+(388343+H11)/2</f>
        <v>405077</v>
      </c>
      <c r="I27" s="11">
        <f>+(358888+I11)/2</f>
        <v>384572.5</v>
      </c>
      <c r="J27" s="17">
        <f>+(335596+J11)/2</f>
        <v>360644.5</v>
      </c>
      <c r="K27" s="9">
        <f>(K11+L11)/2</f>
        <v>357940.5</v>
      </c>
      <c r="L27" s="18" t="s">
        <v>24</v>
      </c>
    </row>
    <row r="28" spans="1:12" ht="11.25">
      <c r="A28" s="1" t="s">
        <v>25</v>
      </c>
      <c r="C28" s="9">
        <f aca="true" t="shared" si="4" ref="C28:K28">C29+C30</f>
        <v>556971.5</v>
      </c>
      <c r="D28" s="9">
        <f t="shared" si="4"/>
        <v>431257</v>
      </c>
      <c r="E28" s="9">
        <f t="shared" si="4"/>
        <v>446657</v>
      </c>
      <c r="F28" s="9">
        <f t="shared" si="4"/>
        <v>415182.5</v>
      </c>
      <c r="G28" s="10">
        <f t="shared" si="4"/>
        <v>388141</v>
      </c>
      <c r="H28" s="11">
        <f t="shared" si="4"/>
        <v>322916.5</v>
      </c>
      <c r="I28" s="11">
        <f t="shared" si="4"/>
        <v>312850.5</v>
      </c>
      <c r="J28" s="17">
        <f t="shared" si="4"/>
        <v>280352.5</v>
      </c>
      <c r="K28" s="9">
        <f t="shared" si="4"/>
        <v>276868</v>
      </c>
      <c r="L28" s="18" t="s">
        <v>24</v>
      </c>
    </row>
    <row r="29" spans="2:12" ht="11.25">
      <c r="B29" s="1" t="s">
        <v>14</v>
      </c>
      <c r="C29" s="9">
        <f>(C13+G13)/2</f>
        <v>257066</v>
      </c>
      <c r="D29" s="9">
        <f>(D13+H13)/2</f>
        <v>211946.5</v>
      </c>
      <c r="E29" s="9">
        <f>(E13+I13)/2</f>
        <v>265834</v>
      </c>
      <c r="F29" s="9">
        <f>+(F13+J13)/2</f>
        <v>246466</v>
      </c>
      <c r="G29" s="10">
        <f>+(G13+K13)/2</f>
        <v>232522.5</v>
      </c>
      <c r="H29" s="11">
        <f>+(237214+H13)/2</f>
        <v>192581</v>
      </c>
      <c r="I29" s="11">
        <f>+(211623+I13)/2</f>
        <v>200374.5</v>
      </c>
      <c r="J29" s="17">
        <f>+(166082+J13)/2</f>
        <v>177323.5</v>
      </c>
      <c r="K29" s="9">
        <f>(K13+L13)/2</f>
        <v>175392</v>
      </c>
      <c r="L29" s="18" t="s">
        <v>24</v>
      </c>
    </row>
    <row r="30" spans="2:12" ht="11.25">
      <c r="B30" s="1" t="s">
        <v>17</v>
      </c>
      <c r="C30" s="9">
        <f>(C16+G16)/2</f>
        <v>299905.5</v>
      </c>
      <c r="D30" s="9">
        <f>(D16+H16)/2</f>
        <v>219310.5</v>
      </c>
      <c r="E30" s="9">
        <f>(E16+I16)/2</f>
        <v>180823</v>
      </c>
      <c r="F30" s="9">
        <f>+(F16+J16)/2</f>
        <v>168716.5</v>
      </c>
      <c r="G30" s="10">
        <f>+(G16+K16)/2</f>
        <v>155618.5</v>
      </c>
      <c r="H30" s="11">
        <f>+(91723+H16)/2</f>
        <v>130335.5</v>
      </c>
      <c r="I30" s="11">
        <f>+(67193+I16)/2</f>
        <v>112476</v>
      </c>
      <c r="J30" s="17">
        <f>+(79837+J16)/2</f>
        <v>103029</v>
      </c>
      <c r="K30" s="9">
        <f>(K16+L16)/2</f>
        <v>101476</v>
      </c>
      <c r="L30" s="18" t="s">
        <v>24</v>
      </c>
    </row>
    <row r="31" spans="1:12" ht="11.25">
      <c r="A31" s="2" t="s">
        <v>22</v>
      </c>
      <c r="B31" s="2"/>
      <c r="C31" s="14">
        <f>(C25+G25)/2</f>
        <v>19503.5</v>
      </c>
      <c r="D31" s="14">
        <f>(D25+H25)/2</f>
        <v>12390.5</v>
      </c>
      <c r="E31" s="14">
        <f>(E25+I25)/2</f>
        <v>9969</v>
      </c>
      <c r="F31" s="14">
        <f>+(F25+J25)/2</f>
        <v>6019.5</v>
      </c>
      <c r="G31" s="15">
        <f>+(G25+K25)/2</f>
        <v>6339</v>
      </c>
      <c r="H31" s="14">
        <f>+(4964+H25)/2</f>
        <v>4896</v>
      </c>
      <c r="I31" s="14">
        <f>+(5432+I25)/2</f>
        <v>7689.5</v>
      </c>
      <c r="J31" s="19">
        <f>+(3321+J25)/2</f>
        <v>3977</v>
      </c>
      <c r="K31" s="14">
        <f>(K25+L25)/2</f>
        <v>5940</v>
      </c>
      <c r="L31" s="20" t="s">
        <v>24</v>
      </c>
    </row>
    <row r="32" spans="1:10" ht="11.25">
      <c r="A32" s="4" t="s">
        <v>26</v>
      </c>
      <c r="F32" s="9"/>
      <c r="G32" s="21"/>
      <c r="H32" s="22"/>
      <c r="I32" s="22"/>
      <c r="J32" s="23"/>
    </row>
    <row r="33" spans="1:12" ht="11.25">
      <c r="A33" s="1" t="s">
        <v>27</v>
      </c>
      <c r="C33" s="9">
        <v>46670</v>
      </c>
      <c r="D33" s="9">
        <v>34596</v>
      </c>
      <c r="E33" s="9">
        <v>23162</v>
      </c>
      <c r="F33" s="9">
        <v>11005</v>
      </c>
      <c r="G33" s="10">
        <v>40917</v>
      </c>
      <c r="H33" s="11">
        <v>30790</v>
      </c>
      <c r="I33" s="11">
        <v>21356</v>
      </c>
      <c r="J33" s="12">
        <v>8673</v>
      </c>
      <c r="K33" s="9">
        <v>28577</v>
      </c>
      <c r="L33" s="9">
        <v>26854</v>
      </c>
    </row>
    <row r="34" spans="1:12" ht="11.25">
      <c r="A34" s="1" t="s">
        <v>28</v>
      </c>
      <c r="C34" s="9">
        <v>29259</v>
      </c>
      <c r="D34" s="9">
        <v>22845</v>
      </c>
      <c r="E34" s="9">
        <v>15793</v>
      </c>
      <c r="F34" s="9">
        <v>7741</v>
      </c>
      <c r="G34" s="10">
        <v>25603</v>
      </c>
      <c r="H34" s="11">
        <v>18475</v>
      </c>
      <c r="I34" s="11">
        <v>12001</v>
      </c>
      <c r="J34" s="12">
        <v>5838</v>
      </c>
      <c r="K34" s="9">
        <v>21916</v>
      </c>
      <c r="L34" s="9">
        <v>19185</v>
      </c>
    </row>
    <row r="35" spans="1:12" ht="11.25">
      <c r="A35" s="1" t="s">
        <v>29</v>
      </c>
      <c r="C35" s="24">
        <f>+C33-C34</f>
        <v>17411</v>
      </c>
      <c r="D35" s="9">
        <f aca="true" t="shared" si="5" ref="D35:L35">D33-D34</f>
        <v>11751</v>
      </c>
      <c r="E35" s="9">
        <f t="shared" si="5"/>
        <v>7369</v>
      </c>
      <c r="F35" s="9">
        <f t="shared" si="5"/>
        <v>3264</v>
      </c>
      <c r="G35" s="10">
        <f t="shared" si="5"/>
        <v>15314</v>
      </c>
      <c r="H35" s="11">
        <f t="shared" si="5"/>
        <v>12315</v>
      </c>
      <c r="I35" s="11">
        <f t="shared" si="5"/>
        <v>9355</v>
      </c>
      <c r="J35" s="12">
        <f t="shared" si="5"/>
        <v>2835</v>
      </c>
      <c r="K35" s="9">
        <f t="shared" si="5"/>
        <v>6661</v>
      </c>
      <c r="L35" s="9">
        <f t="shared" si="5"/>
        <v>7669</v>
      </c>
    </row>
    <row r="36" spans="1:12" ht="11.25">
      <c r="A36" s="1" t="s">
        <v>30</v>
      </c>
      <c r="C36" s="9">
        <v>3820</v>
      </c>
      <c r="D36" s="9">
        <v>1867</v>
      </c>
      <c r="E36" s="9">
        <v>398</v>
      </c>
      <c r="F36" s="9">
        <v>177</v>
      </c>
      <c r="G36" s="10">
        <v>1051</v>
      </c>
      <c r="H36" s="11">
        <v>874</v>
      </c>
      <c r="I36" s="11">
        <v>601</v>
      </c>
      <c r="J36" s="12">
        <v>312</v>
      </c>
      <c r="K36" s="9">
        <v>4310</v>
      </c>
      <c r="L36" s="9">
        <v>0</v>
      </c>
    </row>
    <row r="37" spans="1:12" ht="11.25">
      <c r="A37" s="1" t="s">
        <v>31</v>
      </c>
      <c r="C37" s="24">
        <f>+C36+C35</f>
        <v>21231</v>
      </c>
      <c r="D37" s="9">
        <f aca="true" t="shared" si="6" ref="D37:L37">D35+D36</f>
        <v>13618</v>
      </c>
      <c r="E37" s="9">
        <f t="shared" si="6"/>
        <v>7767</v>
      </c>
      <c r="F37" s="9">
        <f t="shared" si="6"/>
        <v>3441</v>
      </c>
      <c r="G37" s="10">
        <f t="shared" si="6"/>
        <v>16365</v>
      </c>
      <c r="H37" s="11">
        <f t="shared" si="6"/>
        <v>13189</v>
      </c>
      <c r="I37" s="11">
        <f t="shared" si="6"/>
        <v>9956</v>
      </c>
      <c r="J37" s="12">
        <f t="shared" si="6"/>
        <v>3147</v>
      </c>
      <c r="K37" s="9">
        <f t="shared" si="6"/>
        <v>10971</v>
      </c>
      <c r="L37" s="9">
        <f t="shared" si="6"/>
        <v>7669</v>
      </c>
    </row>
    <row r="38" spans="1:12" ht="11.25">
      <c r="A38" s="1" t="s">
        <v>32</v>
      </c>
      <c r="C38" s="9">
        <v>1842</v>
      </c>
      <c r="D38" s="9">
        <v>1369</v>
      </c>
      <c r="E38" s="9">
        <v>848</v>
      </c>
      <c r="F38" s="9">
        <v>334</v>
      </c>
      <c r="G38" s="10">
        <v>734</v>
      </c>
      <c r="H38" s="11">
        <v>500</v>
      </c>
      <c r="I38" s="11">
        <v>353</v>
      </c>
      <c r="J38" s="12">
        <v>197</v>
      </c>
      <c r="K38" s="9">
        <v>938</v>
      </c>
      <c r="L38" s="9">
        <v>609</v>
      </c>
    </row>
    <row r="39" spans="1:12" ht="11.25">
      <c r="A39" s="1" t="s">
        <v>33</v>
      </c>
      <c r="C39" s="24">
        <f>+C37-C38</f>
        <v>19389</v>
      </c>
      <c r="D39" s="9">
        <f>D37-D38</f>
        <v>12249</v>
      </c>
      <c r="E39" s="9">
        <v>6918</v>
      </c>
      <c r="F39" s="9">
        <f aca="true" t="shared" si="7" ref="F39:L39">F37-F38</f>
        <v>3107</v>
      </c>
      <c r="G39" s="10">
        <f t="shared" si="7"/>
        <v>15631</v>
      </c>
      <c r="H39" s="11">
        <f t="shared" si="7"/>
        <v>12689</v>
      </c>
      <c r="I39" s="11">
        <f t="shared" si="7"/>
        <v>9603</v>
      </c>
      <c r="J39" s="12">
        <f t="shared" si="7"/>
        <v>2950</v>
      </c>
      <c r="K39" s="9">
        <f t="shared" si="7"/>
        <v>10033</v>
      </c>
      <c r="L39" s="9">
        <f t="shared" si="7"/>
        <v>7060</v>
      </c>
    </row>
    <row r="40" spans="1:12" ht="11.25">
      <c r="A40" s="2" t="s">
        <v>34</v>
      </c>
      <c r="B40" s="2"/>
      <c r="C40" s="25">
        <f>+C39-6000</f>
        <v>13389</v>
      </c>
      <c r="D40" s="14">
        <v>7749</v>
      </c>
      <c r="E40" s="14">
        <v>3918</v>
      </c>
      <c r="F40" s="14">
        <v>1607</v>
      </c>
      <c r="G40" s="15">
        <v>9691</v>
      </c>
      <c r="H40" s="14">
        <v>8249</v>
      </c>
      <c r="I40" s="14">
        <v>6863</v>
      </c>
      <c r="J40" s="16">
        <v>1632</v>
      </c>
      <c r="K40" s="14">
        <v>5333</v>
      </c>
      <c r="L40" s="14">
        <v>5559</v>
      </c>
    </row>
    <row r="41" spans="1:12" ht="11.25">
      <c r="A41" s="26" t="s">
        <v>35</v>
      </c>
      <c r="B41" s="3"/>
      <c r="C41" s="22"/>
      <c r="D41" s="22"/>
      <c r="E41" s="9"/>
      <c r="F41" s="3"/>
      <c r="G41" s="27"/>
      <c r="H41" s="3"/>
      <c r="I41" s="3"/>
      <c r="J41" s="28"/>
      <c r="K41" s="3"/>
      <c r="L41" s="3"/>
    </row>
    <row r="42" spans="1:12" ht="11.25">
      <c r="A42" s="22" t="s">
        <v>36</v>
      </c>
      <c r="B42" s="22"/>
      <c r="C42" s="11">
        <v>6939</v>
      </c>
      <c r="D42" s="9">
        <v>7549</v>
      </c>
      <c r="E42" s="9">
        <v>4368</v>
      </c>
      <c r="F42" s="11">
        <v>5606</v>
      </c>
      <c r="G42" s="10">
        <v>7254</v>
      </c>
      <c r="H42" s="11">
        <v>10621</v>
      </c>
      <c r="I42" s="11">
        <v>5537</v>
      </c>
      <c r="J42" s="12">
        <v>5347</v>
      </c>
      <c r="K42" s="11">
        <v>5079</v>
      </c>
      <c r="L42" s="11">
        <v>605</v>
      </c>
    </row>
    <row r="43" spans="1:12" ht="11.25">
      <c r="A43" s="22" t="s">
        <v>37</v>
      </c>
      <c r="B43" s="22"/>
      <c r="C43" s="11">
        <v>19014</v>
      </c>
      <c r="D43" s="9">
        <v>19507</v>
      </c>
      <c r="E43" s="9">
        <v>18326</v>
      </c>
      <c r="F43" s="11">
        <v>16826</v>
      </c>
      <c r="G43" s="10">
        <v>15329</v>
      </c>
      <c r="H43" s="11">
        <v>13865</v>
      </c>
      <c r="I43" s="11">
        <v>12165</v>
      </c>
      <c r="J43" s="12">
        <v>10742</v>
      </c>
      <c r="K43" s="11">
        <v>9424</v>
      </c>
      <c r="L43" s="11">
        <v>5508</v>
      </c>
    </row>
    <row r="44" spans="1:12" ht="11.25">
      <c r="A44" s="22" t="s">
        <v>38</v>
      </c>
      <c r="B44" s="22"/>
      <c r="C44" s="29">
        <f>C42/C13</f>
        <v>0.02689764243462621</v>
      </c>
      <c r="D44" s="29">
        <f>D42/D13</f>
        <v>0.027356900831687472</v>
      </c>
      <c r="E44" s="29">
        <f>E42/E13</f>
        <v>0.012751720956846168</v>
      </c>
      <c r="F44" s="30">
        <f>+F42/F13</f>
        <v>0.018418553916817525</v>
      </c>
      <c r="G44" s="31">
        <f aca="true" t="shared" si="8" ref="G44:L44">G42/G13</f>
        <v>0.028318901910569422</v>
      </c>
      <c r="H44" s="30">
        <f t="shared" si="8"/>
        <v>0.0717887365831238</v>
      </c>
      <c r="I44" s="30">
        <f t="shared" si="8"/>
        <v>0.029276778444000295</v>
      </c>
      <c r="J44" s="32">
        <f t="shared" si="8"/>
        <v>0.028356269721316257</v>
      </c>
      <c r="K44" s="30">
        <f t="shared" si="8"/>
        <v>0.024314115974359833</v>
      </c>
      <c r="L44" s="30">
        <f t="shared" si="8"/>
        <v>0.00426377622574757</v>
      </c>
    </row>
    <row r="45" spans="1:12" ht="11.25">
      <c r="A45" s="22" t="s">
        <v>39</v>
      </c>
      <c r="B45" s="22"/>
      <c r="C45" s="30">
        <f aca="true" t="shared" si="9" ref="C45:L45">+C43/C42</f>
        <v>2.740164288802421</v>
      </c>
      <c r="D45" s="30">
        <f t="shared" si="9"/>
        <v>2.5840508676645912</v>
      </c>
      <c r="E45" s="30">
        <f t="shared" si="9"/>
        <v>4.19551282051282</v>
      </c>
      <c r="F45" s="30">
        <f t="shared" si="9"/>
        <v>3.001427042454513</v>
      </c>
      <c r="G45" s="31">
        <f t="shared" si="9"/>
        <v>2.113178935759581</v>
      </c>
      <c r="H45" s="30">
        <f t="shared" si="9"/>
        <v>1.3054326334620092</v>
      </c>
      <c r="I45" s="30">
        <f t="shared" si="9"/>
        <v>2.1970381072783094</v>
      </c>
      <c r="J45" s="32">
        <f t="shared" si="9"/>
        <v>2.0089769964466058</v>
      </c>
      <c r="K45" s="30">
        <f t="shared" si="9"/>
        <v>1.855483362866706</v>
      </c>
      <c r="L45" s="30">
        <f t="shared" si="9"/>
        <v>9.104132231404959</v>
      </c>
    </row>
    <row r="46" spans="1:12" ht="11.25">
      <c r="A46" s="2" t="s">
        <v>40</v>
      </c>
      <c r="B46" s="2"/>
      <c r="C46" s="33">
        <f>C43/C13</f>
        <v>0.07370395925233934</v>
      </c>
      <c r="D46" s="33">
        <f>D43/D13</f>
        <v>0.0706916233307362</v>
      </c>
      <c r="E46" s="33">
        <f>E43/E13</f>
        <v>0.05350000875805011</v>
      </c>
      <c r="F46" s="33">
        <f>+F43/F13</f>
        <v>0.05528194580884262</v>
      </c>
      <c r="G46" s="34">
        <f>15329/G13</f>
        <v>0.05984290700125706</v>
      </c>
      <c r="H46" s="33">
        <f>13865/H13</f>
        <v>0.09371535945061779</v>
      </c>
      <c r="I46" s="33">
        <f>12165/I13</f>
        <v>0.06432219789981282</v>
      </c>
      <c r="J46" s="35">
        <f>10742/J13</f>
        <v>0.056967093575159757</v>
      </c>
      <c r="K46" s="33">
        <f>9424/K13</f>
        <v>0.04511443767323628</v>
      </c>
      <c r="L46" s="33">
        <f>5508/L13</f>
        <v>0.03881798256432664</v>
      </c>
    </row>
    <row r="47" spans="1:10" ht="11.25">
      <c r="A47" s="4" t="s">
        <v>41</v>
      </c>
      <c r="F47" s="28"/>
      <c r="G47" s="22"/>
      <c r="H47" s="22"/>
      <c r="I47" s="22"/>
      <c r="J47" s="28"/>
    </row>
    <row r="48" spans="1:12" ht="11.25">
      <c r="A48" s="1" t="s">
        <v>42</v>
      </c>
      <c r="C48" s="36">
        <f aca="true" t="shared" si="10" ref="C48:L48">+C25/C13</f>
        <v>0.12667746862135532</v>
      </c>
      <c r="D48" s="36">
        <f t="shared" si="10"/>
        <v>0.07230788744133795</v>
      </c>
      <c r="E48" s="36">
        <f t="shared" si="10"/>
        <v>0.02916722620875688</v>
      </c>
      <c r="F48" s="37">
        <f t="shared" si="10"/>
        <v>0.024332467054575563</v>
      </c>
      <c r="G48" s="36">
        <f t="shared" si="10"/>
        <v>0.024699985165174076</v>
      </c>
      <c r="H48" s="36">
        <f t="shared" si="10"/>
        <v>0.032633087300943574</v>
      </c>
      <c r="I48" s="36">
        <f t="shared" si="10"/>
        <v>0.05259456658523947</v>
      </c>
      <c r="J48" s="37">
        <f t="shared" si="10"/>
        <v>0.024569776999973484</v>
      </c>
      <c r="K48" s="36">
        <f t="shared" si="10"/>
        <v>0.03040341613568799</v>
      </c>
      <c r="L48" s="36">
        <f t="shared" si="10"/>
        <v>0.03896598140852614</v>
      </c>
    </row>
    <row r="49" spans="1:12" ht="11.25">
      <c r="A49" s="2" t="s">
        <v>43</v>
      </c>
      <c r="B49" s="2"/>
      <c r="C49" s="38">
        <f aca="true" t="shared" si="11" ref="C49:L49">C25/(C13+C16)</f>
        <v>0.049117522841602</v>
      </c>
      <c r="D49" s="38">
        <f t="shared" si="11"/>
        <v>0.03656954132744888</v>
      </c>
      <c r="E49" s="38">
        <f t="shared" si="11"/>
        <v>0.018284168666011503</v>
      </c>
      <c r="F49" s="39">
        <f t="shared" si="11"/>
        <v>0.01436443299668916</v>
      </c>
      <c r="G49" s="38">
        <f t="shared" si="11"/>
        <v>0.014103878733838608</v>
      </c>
      <c r="H49" s="38">
        <f t="shared" si="11"/>
        <v>0.015235282237705745</v>
      </c>
      <c r="I49" s="38">
        <f t="shared" si="11"/>
        <v>0.02867520936333367</v>
      </c>
      <c r="J49" s="39">
        <f t="shared" si="11"/>
        <v>0.014717935359259941</v>
      </c>
      <c r="K49" s="38">
        <f t="shared" si="11"/>
        <v>0.019381595571316093</v>
      </c>
      <c r="L49" s="38">
        <f t="shared" si="11"/>
        <v>0.02445875764197935</v>
      </c>
    </row>
    <row r="50" spans="1:10" ht="11.25">
      <c r="A50" s="4" t="s">
        <v>44</v>
      </c>
      <c r="G50" s="21"/>
      <c r="H50" s="22"/>
      <c r="I50" s="22"/>
      <c r="J50" s="23"/>
    </row>
    <row r="51" spans="1:12" ht="11.25">
      <c r="A51" s="1" t="s">
        <v>45</v>
      </c>
      <c r="C51" s="40">
        <f aca="true" t="shared" si="12" ref="C51:L51">C12/C17</f>
        <v>0.06207448862544727</v>
      </c>
      <c r="D51" s="40">
        <f t="shared" si="12"/>
        <v>0.11296722886074301</v>
      </c>
      <c r="E51" s="40">
        <f t="shared" si="12"/>
        <v>0.026252543993038925</v>
      </c>
      <c r="F51" s="29">
        <f t="shared" si="12"/>
        <v>0.017131455636461703</v>
      </c>
      <c r="G51" s="31">
        <f t="shared" si="12"/>
        <v>0.053866672569701936</v>
      </c>
      <c r="H51" s="30">
        <f t="shared" si="12"/>
        <v>0.12792332138200782</v>
      </c>
      <c r="I51" s="30">
        <f t="shared" si="12"/>
        <v>0.023605224254938544</v>
      </c>
      <c r="J51" s="32">
        <f t="shared" si="12"/>
        <v>0.013767634809234028</v>
      </c>
      <c r="K51" s="29">
        <f t="shared" si="12"/>
        <v>0.02109530772298285</v>
      </c>
      <c r="L51" s="29">
        <f t="shared" si="12"/>
        <v>0.09240295400056187</v>
      </c>
    </row>
    <row r="52" spans="1:12" ht="11.25">
      <c r="A52" s="1" t="s">
        <v>46</v>
      </c>
      <c r="C52" s="40">
        <f aca="true" t="shared" si="13" ref="C52:L52">C12/C11</f>
        <v>0.043231613448539916</v>
      </c>
      <c r="D52" s="40">
        <f t="shared" si="13"/>
        <v>0.0848476233708868</v>
      </c>
      <c r="E52" s="40">
        <f t="shared" si="13"/>
        <v>0.02063487888044561</v>
      </c>
      <c r="F52" s="29">
        <f t="shared" si="13"/>
        <v>0.014172146877195061</v>
      </c>
      <c r="G52" s="31">
        <f t="shared" si="13"/>
        <v>0.04613710307378448</v>
      </c>
      <c r="H52" s="30">
        <f t="shared" si="13"/>
        <v>0.11909599322919506</v>
      </c>
      <c r="I52" s="30">
        <f t="shared" si="13"/>
        <v>0.02167909383630261</v>
      </c>
      <c r="J52" s="32">
        <f t="shared" si="13"/>
        <v>0.013010347608071704</v>
      </c>
      <c r="K52" s="29">
        <f t="shared" si="13"/>
        <v>0.01990118378812199</v>
      </c>
      <c r="L52" s="29">
        <f t="shared" si="13"/>
        <v>0.07570602942984793</v>
      </c>
    </row>
    <row r="53" spans="1:12" ht="11.25">
      <c r="A53" s="2" t="s">
        <v>47</v>
      </c>
      <c r="B53" s="2"/>
      <c r="C53" s="41">
        <f aca="true" t="shared" si="14" ref="C53:L53">(C12+C16)/C17</f>
        <v>0.8369878883222274</v>
      </c>
      <c r="D53" s="41">
        <f t="shared" si="14"/>
        <v>0.6617433985608699</v>
      </c>
      <c r="E53" s="41">
        <f t="shared" si="14"/>
        <v>0.45271676494027235</v>
      </c>
      <c r="F53" s="33">
        <f t="shared" si="14"/>
        <v>0.46214055757820927</v>
      </c>
      <c r="G53" s="34">
        <f t="shared" si="14"/>
        <v>0.47987249443823393</v>
      </c>
      <c r="H53" s="33">
        <f t="shared" si="14"/>
        <v>0.558140482398957</v>
      </c>
      <c r="I53" s="33">
        <f t="shared" si="14"/>
        <v>0.4423073350301634</v>
      </c>
      <c r="J53" s="35">
        <f t="shared" si="14"/>
        <v>0.3600738590532213</v>
      </c>
      <c r="K53" s="33">
        <f t="shared" si="14"/>
        <v>0.33690283131729365</v>
      </c>
      <c r="L53" s="33">
        <f t="shared" si="14"/>
        <v>0.4162847170109024</v>
      </c>
    </row>
    <row r="54" spans="1:10" ht="11.25">
      <c r="A54" s="4" t="s">
        <v>48</v>
      </c>
      <c r="G54" s="21"/>
      <c r="H54" s="22"/>
      <c r="I54" s="22"/>
      <c r="J54" s="23"/>
    </row>
    <row r="55" spans="1:12" ht="11.25">
      <c r="A55" s="1" t="s">
        <v>49</v>
      </c>
      <c r="B55" s="22"/>
      <c r="C55" s="42">
        <f>C40/C28</f>
        <v>0.02403893197407767</v>
      </c>
      <c r="D55" s="42">
        <f>(D40/0.75)/D28</f>
        <v>0.02395787198816483</v>
      </c>
      <c r="E55" s="29">
        <f>(E40/0.5)/E28</f>
        <v>0.01754366325838395</v>
      </c>
      <c r="F55" s="29">
        <f>((F40)/0.25)/F28</f>
        <v>0.015482348124017751</v>
      </c>
      <c r="G55" s="43">
        <f>G40/G28</f>
        <v>0.024967730798859177</v>
      </c>
      <c r="H55" s="42">
        <f>(H40/0.75)/H28</f>
        <v>0.0340604046763379</v>
      </c>
      <c r="I55" s="42">
        <f>(I40/0.5)/I28</f>
        <v>0.043873990931770926</v>
      </c>
      <c r="J55" s="32">
        <f>((J40)/0.25)/J28</f>
        <v>0.023284971598255766</v>
      </c>
      <c r="K55" s="29">
        <f>K40/K28</f>
        <v>0.019261886530765562</v>
      </c>
      <c r="L55" s="44" t="s">
        <v>24</v>
      </c>
    </row>
    <row r="56" spans="1:12" ht="11.25">
      <c r="A56" s="1" t="s">
        <v>50</v>
      </c>
      <c r="B56" s="22"/>
      <c r="C56" s="42">
        <f>C40/C27</f>
        <v>0.020883668188475535</v>
      </c>
      <c r="D56" s="42">
        <f>(D40/0.75)/D27</f>
        <v>0.019203068922513052</v>
      </c>
      <c r="E56" s="29">
        <f>(E40/0.5)/E27</f>
        <v>0.01538734942302349</v>
      </c>
      <c r="F56" s="29">
        <f>((F40)/0.25)/F27</f>
        <v>0.013399706490561004</v>
      </c>
      <c r="G56" s="43">
        <f>G40/G27</f>
        <v>0.020927540738629246</v>
      </c>
      <c r="H56" s="42">
        <f>(H40/0.75)/H27</f>
        <v>0.027152039406499667</v>
      </c>
      <c r="I56" s="42">
        <f>(I40/0.5)/I27</f>
        <v>0.03569157961112664</v>
      </c>
      <c r="J56" s="32">
        <f>((J40)/0.25)/J27</f>
        <v>0.01810092764481366</v>
      </c>
      <c r="K56" s="29">
        <f>K40/K27</f>
        <v>0.014899124295797764</v>
      </c>
      <c r="L56" s="44" t="s">
        <v>24</v>
      </c>
    </row>
    <row r="57" spans="1:12" ht="11.25">
      <c r="A57" s="1" t="s">
        <v>51</v>
      </c>
      <c r="B57" s="22"/>
      <c r="C57" s="42">
        <f>+C40/C31</f>
        <v>0.6864921680723972</v>
      </c>
      <c r="D57" s="42">
        <f>(D40/0.75)/D31</f>
        <v>0.8338646543723014</v>
      </c>
      <c r="E57" s="29">
        <f>(E40/0.5)/E31</f>
        <v>0.7860367138128197</v>
      </c>
      <c r="F57" s="29">
        <f>((F40)/0.25)/F31</f>
        <v>1.0678627793006064</v>
      </c>
      <c r="G57" s="43">
        <f>+G40/G31</f>
        <v>1.5287900299731818</v>
      </c>
      <c r="H57" s="42">
        <f>(H40/0.75)/H31</f>
        <v>2.2464596949891065</v>
      </c>
      <c r="I57" s="42">
        <f>(I40/0.5)/I31</f>
        <v>1.7850315365108265</v>
      </c>
      <c r="J57" s="32">
        <f>((J40)/0.25)/J31</f>
        <v>1.6414382700528036</v>
      </c>
      <c r="K57" s="29">
        <f>K40/K31</f>
        <v>0.8978114478114478</v>
      </c>
      <c r="L57" s="44" t="s">
        <v>24</v>
      </c>
    </row>
    <row r="58" spans="1:12" ht="11.25">
      <c r="A58" s="1" t="s">
        <v>52</v>
      </c>
      <c r="B58" s="22"/>
      <c r="C58" s="42">
        <f>C33/C28</f>
        <v>0.08379243821272722</v>
      </c>
      <c r="D58" s="42">
        <f>(D33/0.75)/D28</f>
        <v>0.10696174207027365</v>
      </c>
      <c r="E58" s="29">
        <f>(E33/0.5)/E28</f>
        <v>0.10371269228960925</v>
      </c>
      <c r="F58" s="29">
        <f>((F33)/0.25)/F28</f>
        <v>0.10602566341307738</v>
      </c>
      <c r="G58" s="43">
        <f>G33/G28</f>
        <v>0.10541787649333619</v>
      </c>
      <c r="H58" s="42">
        <f>(H33/0.75)/H28</f>
        <v>0.12713296884282263</v>
      </c>
      <c r="I58" s="42">
        <f>(I33/0.5)/I28</f>
        <v>0.13652527325351885</v>
      </c>
      <c r="J58" s="32">
        <f>((J33)/0.25)/J28</f>
        <v>0.1237442148723482</v>
      </c>
      <c r="K58" s="29">
        <f>K33/K28</f>
        <v>0.1032152505887282</v>
      </c>
      <c r="L58" s="44" t="s">
        <v>24</v>
      </c>
    </row>
    <row r="59" spans="1:12" ht="11.25">
      <c r="A59" s="1" t="s">
        <v>53</v>
      </c>
      <c r="B59" s="22"/>
      <c r="C59" s="42">
        <f>C34/C28</f>
        <v>0.05253231089921118</v>
      </c>
      <c r="D59" s="42">
        <f>(D34/0.75)/D28</f>
        <v>0.07063073758802756</v>
      </c>
      <c r="E59" s="29">
        <f>(E34/0.5)/E28</f>
        <v>0.07071645580389427</v>
      </c>
      <c r="F59" s="29">
        <f>((F34)/0.25)/F28</f>
        <v>0.07457925129310604</v>
      </c>
      <c r="G59" s="43">
        <f>G34/G28</f>
        <v>0.06596314226015804</v>
      </c>
      <c r="H59" s="42">
        <f>(H34/0.75)/H28</f>
        <v>0.07628391034008275</v>
      </c>
      <c r="I59" s="42">
        <f>(I34/0.5)/I28</f>
        <v>0.07672035045492975</v>
      </c>
      <c r="J59" s="32">
        <f>((J34)/0.25)/J28</f>
        <v>0.0832951373717017</v>
      </c>
      <c r="K59" s="29">
        <f>K34/K28</f>
        <v>0.07915685452995651</v>
      </c>
      <c r="L59" s="44" t="s">
        <v>24</v>
      </c>
    </row>
    <row r="60" spans="1:12" ht="11.25">
      <c r="A60" s="1" t="s">
        <v>54</v>
      </c>
      <c r="B60" s="22"/>
      <c r="C60" s="42">
        <f>C35/C28</f>
        <v>0.031260127313516045</v>
      </c>
      <c r="D60" s="42">
        <f>(D35/0.75)/D28</f>
        <v>0.03633100448224608</v>
      </c>
      <c r="E60" s="29">
        <f>(E35/0.5)/E28</f>
        <v>0.03299623648571499</v>
      </c>
      <c r="F60" s="29">
        <f>((F35)/0.25)/F28</f>
        <v>0.03144641211997134</v>
      </c>
      <c r="G60" s="43">
        <f>G35/G28</f>
        <v>0.03945473423317815</v>
      </c>
      <c r="H60" s="42">
        <f>(H35/0.75)/H28</f>
        <v>0.05084905850273987</v>
      </c>
      <c r="I60" s="42">
        <f>(I35/0.5)/I28</f>
        <v>0.0598049227985891</v>
      </c>
      <c r="J60" s="32">
        <f>((J35)/0.25)/J28</f>
        <v>0.04044907750064651</v>
      </c>
      <c r="K60" s="29">
        <f>K35/K28</f>
        <v>0.024058396058771688</v>
      </c>
      <c r="L60" s="44" t="s">
        <v>24</v>
      </c>
    </row>
    <row r="61" spans="1:12" ht="11.25">
      <c r="A61" s="1" t="s">
        <v>55</v>
      </c>
      <c r="B61" s="22"/>
      <c r="C61" s="42">
        <f>C38/C37</f>
        <v>0.08675992652253779</v>
      </c>
      <c r="D61" s="42">
        <f>(D38/0.75)/(D37/0.75)</f>
        <v>0.10052871199882508</v>
      </c>
      <c r="E61" s="29">
        <f>(E38/0.5)/(E37/0.5)</f>
        <v>0.10917986352517059</v>
      </c>
      <c r="F61" s="29">
        <f>(F38/0.25)/(F37/0.25)</f>
        <v>0.0970648067422261</v>
      </c>
      <c r="G61" s="43">
        <f>G38/G37</f>
        <v>0.04485181790406355</v>
      </c>
      <c r="H61" s="42">
        <f>(H38/0.75)/(H37/0.75)</f>
        <v>0.03791037986200622</v>
      </c>
      <c r="I61" s="42">
        <f>(I38/0.5)/(I37/0.5)</f>
        <v>0.035456006428284455</v>
      </c>
      <c r="J61" s="32">
        <f>(J38/0.25)/(J37/0.25)</f>
        <v>0.06259930092151256</v>
      </c>
      <c r="K61" s="29">
        <f>K38/K37</f>
        <v>0.08549813143742595</v>
      </c>
      <c r="L61" s="29">
        <f>L38/L37</f>
        <v>0.07941061416090756</v>
      </c>
    </row>
    <row r="62" spans="1:12" ht="11.25">
      <c r="A62" s="2" t="s">
        <v>56</v>
      </c>
      <c r="B62" s="2"/>
      <c r="C62" s="38">
        <f>C36/C28</f>
        <v>0.006858519690863895</v>
      </c>
      <c r="D62" s="38">
        <f>(D36/0.75)/D28</f>
        <v>0.0057722734548849835</v>
      </c>
      <c r="E62" s="33">
        <f>(E36/0.5)/E28</f>
        <v>0.0017821281206832089</v>
      </c>
      <c r="F62" s="33">
        <f>(F36/0.25)/F28</f>
        <v>0.0017052741866528576</v>
      </c>
      <c r="G62" s="45">
        <f>G36/G28</f>
        <v>0.002707778874172015</v>
      </c>
      <c r="H62" s="38">
        <f>(H36/0.75)/H28</f>
        <v>0.00360877605614248</v>
      </c>
      <c r="I62" s="38">
        <f>(I36/0.5)/I28</f>
        <v>0.0038420907110584767</v>
      </c>
      <c r="J62" s="35">
        <f>(J36/0.25)/J28</f>
        <v>0.004451538687901838</v>
      </c>
      <c r="K62" s="33">
        <f>K36/K28</f>
        <v>0.015566984989236749</v>
      </c>
      <c r="L62" s="46" t="s">
        <v>24</v>
      </c>
    </row>
    <row r="63" spans="1:10" ht="11.25">
      <c r="A63" s="4" t="s">
        <v>57</v>
      </c>
      <c r="B63" s="22"/>
      <c r="C63" s="3"/>
      <c r="G63" s="21"/>
      <c r="H63" s="22"/>
      <c r="I63" s="22"/>
      <c r="J63" s="23"/>
    </row>
    <row r="64" spans="1:12" ht="11.25">
      <c r="A64" s="1" t="s">
        <v>70</v>
      </c>
      <c r="B64" s="22"/>
      <c r="C64" s="22">
        <v>13</v>
      </c>
      <c r="D64" s="1">
        <v>13</v>
      </c>
      <c r="E64" s="9">
        <v>15</v>
      </c>
      <c r="F64" s="1">
        <v>18</v>
      </c>
      <c r="G64" s="10">
        <v>19</v>
      </c>
      <c r="H64" s="11">
        <v>17</v>
      </c>
      <c r="I64" s="11">
        <v>18</v>
      </c>
      <c r="J64" s="12">
        <v>20</v>
      </c>
      <c r="K64" s="9">
        <v>27</v>
      </c>
      <c r="L64" s="9">
        <v>13</v>
      </c>
    </row>
    <row r="65" spans="1:12" ht="11.25">
      <c r="A65" s="1" t="s">
        <v>58</v>
      </c>
      <c r="B65" s="22"/>
      <c r="C65" s="22">
        <v>1</v>
      </c>
      <c r="D65" s="1">
        <v>1</v>
      </c>
      <c r="E65" s="9">
        <v>1</v>
      </c>
      <c r="F65" s="1">
        <v>1</v>
      </c>
      <c r="G65" s="10">
        <v>1</v>
      </c>
      <c r="H65" s="11">
        <v>1</v>
      </c>
      <c r="I65" s="11">
        <v>1</v>
      </c>
      <c r="J65" s="12">
        <v>1</v>
      </c>
      <c r="K65" s="9">
        <v>1</v>
      </c>
      <c r="L65" s="9">
        <v>1</v>
      </c>
    </row>
    <row r="66" spans="1:12" ht="11.25">
      <c r="A66" s="1" t="s">
        <v>59</v>
      </c>
      <c r="B66" s="22"/>
      <c r="C66" s="11">
        <f aca="true" t="shared" si="15" ref="C66:L66">C13/C64</f>
        <v>19844.46153846154</v>
      </c>
      <c r="D66" s="9">
        <f t="shared" si="15"/>
        <v>21226.53846153846</v>
      </c>
      <c r="E66" s="9">
        <f t="shared" si="15"/>
        <v>22836.133333333335</v>
      </c>
      <c r="F66" s="9">
        <f t="shared" si="15"/>
        <v>16909.277777777777</v>
      </c>
      <c r="G66" s="10">
        <f t="shared" si="15"/>
        <v>13481.78947368421</v>
      </c>
      <c r="H66" s="11">
        <f t="shared" si="15"/>
        <v>8702.823529411764</v>
      </c>
      <c r="I66" s="11">
        <f t="shared" si="15"/>
        <v>10507</v>
      </c>
      <c r="J66" s="12">
        <f t="shared" si="15"/>
        <v>9428.25</v>
      </c>
      <c r="K66" s="9">
        <f t="shared" si="15"/>
        <v>7736.7037037037035</v>
      </c>
      <c r="L66" s="9">
        <f t="shared" si="15"/>
        <v>10914.846153846154</v>
      </c>
    </row>
    <row r="67" spans="1:12" ht="11.25">
      <c r="A67" s="1" t="s">
        <v>60</v>
      </c>
      <c r="B67" s="22"/>
      <c r="C67" s="11">
        <f aca="true" t="shared" si="16" ref="C67:L67">+C17/C64</f>
        <v>40437.769230769234</v>
      </c>
      <c r="D67" s="9">
        <f t="shared" si="16"/>
        <v>37800.61538461538</v>
      </c>
      <c r="E67" s="9">
        <f t="shared" si="16"/>
        <v>31872.466666666667</v>
      </c>
      <c r="F67" s="9">
        <f t="shared" si="16"/>
        <v>26368</v>
      </c>
      <c r="G67" s="10">
        <f t="shared" si="16"/>
        <v>23776.052631578947</v>
      </c>
      <c r="H67" s="11">
        <f t="shared" si="16"/>
        <v>23100.235294117647</v>
      </c>
      <c r="I67" s="11">
        <f t="shared" si="16"/>
        <v>20932.277777777777</v>
      </c>
      <c r="J67" s="12">
        <f t="shared" si="16"/>
        <v>18223.9</v>
      </c>
      <c r="K67" s="9">
        <f t="shared" si="16"/>
        <v>13931.481481481482</v>
      </c>
      <c r="L67" s="9">
        <f t="shared" si="16"/>
        <v>19988.53846153846</v>
      </c>
    </row>
    <row r="68" spans="1:12" ht="11.25">
      <c r="A68" s="2" t="s">
        <v>61</v>
      </c>
      <c r="B68" s="2"/>
      <c r="C68" s="14">
        <f aca="true" t="shared" si="17" ref="C68:L68">+C40/C64</f>
        <v>1029.923076923077</v>
      </c>
      <c r="D68" s="14">
        <f t="shared" si="17"/>
        <v>596.0769230769231</v>
      </c>
      <c r="E68" s="14">
        <f t="shared" si="17"/>
        <v>261.2</v>
      </c>
      <c r="F68" s="14">
        <f t="shared" si="17"/>
        <v>89.27777777777777</v>
      </c>
      <c r="G68" s="15">
        <f t="shared" si="17"/>
        <v>510.05263157894734</v>
      </c>
      <c r="H68" s="14">
        <f t="shared" si="17"/>
        <v>485.2352941176471</v>
      </c>
      <c r="I68" s="14">
        <f t="shared" si="17"/>
        <v>381.27777777777777</v>
      </c>
      <c r="J68" s="16">
        <f t="shared" si="17"/>
        <v>81.6</v>
      </c>
      <c r="K68" s="14">
        <f t="shared" si="17"/>
        <v>197.5185185185185</v>
      </c>
      <c r="L68" s="14">
        <f t="shared" si="17"/>
        <v>427.61538461538464</v>
      </c>
    </row>
    <row r="69" spans="1:12" ht="11.25">
      <c r="A69" s="4" t="s">
        <v>62</v>
      </c>
      <c r="B69" s="22"/>
      <c r="C69" s="3"/>
      <c r="G69" s="21"/>
      <c r="H69" s="22"/>
      <c r="I69" s="22"/>
      <c r="J69" s="23"/>
      <c r="L69" s="3"/>
    </row>
    <row r="70" spans="1:12" ht="11.25">
      <c r="A70" s="1" t="s">
        <v>63</v>
      </c>
      <c r="B70" s="22"/>
      <c r="C70" s="30">
        <f>(C11/G11)-1</f>
        <v>0.4311299362187824</v>
      </c>
      <c r="D70" s="29">
        <f>(D11/H11)-1</f>
        <v>0.5510904172721907</v>
      </c>
      <c r="E70" s="29">
        <f>(E11/I11)-1</f>
        <v>0.48258774378011826</v>
      </c>
      <c r="F70" s="29">
        <f>+(F11/J11)-1</f>
        <v>0.4875328305154618</v>
      </c>
      <c r="G70" s="31">
        <f>+(G11/K11)-1</f>
        <v>0.3228029695024077</v>
      </c>
      <c r="H70" s="30">
        <f>+(H11/388343)-1</f>
        <v>0.08618154569542913</v>
      </c>
      <c r="I70" s="30">
        <f>+(I11/358888)-1</f>
        <v>0.14313379104344537</v>
      </c>
      <c r="J70" s="37">
        <f>+(J11/335596)-1</f>
        <v>0.14927770295235931</v>
      </c>
      <c r="K70" s="29">
        <f>(K11/L11)-1</f>
        <v>0.25715330699550076</v>
      </c>
      <c r="L70" s="30">
        <f>SUM(L71:L72)</f>
        <v>0</v>
      </c>
    </row>
    <row r="71" spans="1:12" ht="11.25">
      <c r="A71" s="1" t="s">
        <v>64</v>
      </c>
      <c r="B71" s="22"/>
      <c r="C71" s="30">
        <f>(C13/G13)-1</f>
        <v>0.00712071644401413</v>
      </c>
      <c r="D71" s="29">
        <f>(D13/H13)-1</f>
        <v>0.8651485657122773</v>
      </c>
      <c r="E71" s="29">
        <f>(E13/I13)-1</f>
        <v>0.8111840783393083</v>
      </c>
      <c r="F71" s="29">
        <f aca="true" t="shared" si="18" ref="F71:K71">SUM(F72:F73)</f>
        <v>0.6141224511441679</v>
      </c>
      <c r="G71" s="31">
        <f t="shared" si="18"/>
        <v>0.22625675591576466</v>
      </c>
      <c r="H71" s="30">
        <f t="shared" si="18"/>
        <v>-0.376309998566695</v>
      </c>
      <c r="I71" s="30">
        <f t="shared" si="18"/>
        <v>-0.10630697041436898</v>
      </c>
      <c r="J71" s="32">
        <f t="shared" si="18"/>
        <v>0.13537288809142467</v>
      </c>
      <c r="K71" s="29">
        <f t="shared" si="18"/>
        <v>0.4721726935084889</v>
      </c>
      <c r="L71" s="30">
        <f>SUM(L72:L73)</f>
        <v>0</v>
      </c>
    </row>
    <row r="72" spans="2:12" ht="11.25">
      <c r="B72" s="22" t="s">
        <v>15</v>
      </c>
      <c r="C72" s="30">
        <v>0</v>
      </c>
      <c r="D72" s="29">
        <v>0</v>
      </c>
      <c r="E72" s="29">
        <v>0</v>
      </c>
      <c r="F72" s="29">
        <v>0</v>
      </c>
      <c r="G72" s="31">
        <v>0</v>
      </c>
      <c r="H72" s="30">
        <v>0</v>
      </c>
      <c r="I72" s="30">
        <v>0</v>
      </c>
      <c r="J72" s="32">
        <v>0</v>
      </c>
      <c r="K72" s="29">
        <v>0</v>
      </c>
      <c r="L72" s="30">
        <f>SUM(L73:L74)</f>
        <v>0</v>
      </c>
    </row>
    <row r="73" spans="2:12" ht="11.25">
      <c r="B73" s="22" t="s">
        <v>16</v>
      </c>
      <c r="C73" s="30">
        <f>(C15/G15)-1</f>
        <v>0.00712071644401413</v>
      </c>
      <c r="D73" s="29">
        <f>(D15/H15)-1</f>
        <v>0.8651485657122773</v>
      </c>
      <c r="E73" s="29">
        <f>(E15/I15)-1</f>
        <v>0.8111840783393083</v>
      </c>
      <c r="F73" s="29">
        <f>+(F15/J15)-1</f>
        <v>0.6141224511441679</v>
      </c>
      <c r="G73" s="31">
        <f>+(G15/K15)-1</f>
        <v>0.22625675591576466</v>
      </c>
      <c r="H73" s="30">
        <f>+(H15/237214)-1</f>
        <v>-0.376309998566695</v>
      </c>
      <c r="I73" s="30">
        <f>+(I15/211623)-1</f>
        <v>-0.10630697041436898</v>
      </c>
      <c r="J73" s="32">
        <f>+(J15/166082)-1</f>
        <v>0.13537288809142467</v>
      </c>
      <c r="K73" s="29">
        <f>+(K15/L15)-1</f>
        <v>0.4721726935084889</v>
      </c>
      <c r="L73" s="30">
        <f>SUM(L74:L75)</f>
        <v>0</v>
      </c>
    </row>
    <row r="74" spans="1:12" ht="11.25">
      <c r="A74" s="1" t="s">
        <v>65</v>
      </c>
      <c r="B74" s="22"/>
      <c r="C74" s="30">
        <f>(C17/G17)-1</f>
        <v>0.16368969219360485</v>
      </c>
      <c r="D74" s="29">
        <f>(D17/H17)-1</f>
        <v>0.2513445241199479</v>
      </c>
      <c r="E74" s="29">
        <f>(E17/I17)-1</f>
        <v>0.2688723688296384</v>
      </c>
      <c r="F74" s="29">
        <f aca="true" t="shared" si="19" ref="F74:K74">SUM(F75:F76)</f>
        <v>0.30220205334752714</v>
      </c>
      <c r="G74" s="31">
        <f t="shared" si="19"/>
        <v>0.20097035757011827</v>
      </c>
      <c r="H74" s="30">
        <f t="shared" si="19"/>
        <v>0.12922231966989206</v>
      </c>
      <c r="I74" s="30">
        <f t="shared" si="19"/>
        <v>-0.16016715792739689</v>
      </c>
      <c r="J74" s="32">
        <f t="shared" si="19"/>
        <v>0.25618826383958426</v>
      </c>
      <c r="K74" s="29">
        <f t="shared" si="19"/>
        <v>0.44756033265217376</v>
      </c>
      <c r="L74" s="30">
        <f>SUM(L75:L76)</f>
        <v>0</v>
      </c>
    </row>
    <row r="75" spans="2:12" ht="11.25">
      <c r="B75" s="22" t="s">
        <v>15</v>
      </c>
      <c r="C75" s="30">
        <v>0</v>
      </c>
      <c r="D75" s="29">
        <v>0</v>
      </c>
      <c r="E75" s="29">
        <v>0</v>
      </c>
      <c r="F75" s="29">
        <v>0</v>
      </c>
      <c r="G75" s="31">
        <v>0</v>
      </c>
      <c r="H75" s="30">
        <v>0</v>
      </c>
      <c r="I75" s="30">
        <v>0</v>
      </c>
      <c r="J75" s="32">
        <v>0</v>
      </c>
      <c r="K75" s="29">
        <v>0</v>
      </c>
      <c r="L75" s="30">
        <v>0</v>
      </c>
    </row>
    <row r="76" spans="2:12" ht="11.25">
      <c r="B76" s="22" t="s">
        <v>16</v>
      </c>
      <c r="C76" s="30">
        <f>(C22/G22)-1</f>
        <v>0.16368969219360485</v>
      </c>
      <c r="D76" s="29">
        <f>(D22/H22)-1</f>
        <v>0.2513445241199479</v>
      </c>
      <c r="E76" s="29">
        <f>(E22/I22)-1</f>
        <v>0.2688723688296384</v>
      </c>
      <c r="F76" s="29">
        <f>+(F22/J22)-1</f>
        <v>0.30220205334752714</v>
      </c>
      <c r="G76" s="31">
        <f>+(G22/K22)-1</f>
        <v>0.20097035757011827</v>
      </c>
      <c r="H76" s="30">
        <f>+(H22/347765)-1</f>
        <v>0.12922231966989206</v>
      </c>
      <c r="I76" s="30">
        <f>+(L22/309408)-1</f>
        <v>-0.16016715792739689</v>
      </c>
      <c r="J76" s="32">
        <f>+(J22/290146)-1</f>
        <v>0.25618826383958426</v>
      </c>
      <c r="K76" s="29">
        <f>+(K22/L22)-1</f>
        <v>0.44756033265217376</v>
      </c>
      <c r="L76" s="30">
        <v>0</v>
      </c>
    </row>
    <row r="77" spans="1:12" ht="11.25">
      <c r="A77" s="1" t="s">
        <v>66</v>
      </c>
      <c r="B77" s="22"/>
      <c r="C77" s="30">
        <f>(C25/G25)-1</f>
        <v>4.165165165165165</v>
      </c>
      <c r="D77" s="29">
        <f>(D25/H25)-1</f>
        <v>3.1327671913835955</v>
      </c>
      <c r="E77" s="29">
        <f>(E25/I25)-1</f>
        <v>0.004423444254549214</v>
      </c>
      <c r="F77" s="30">
        <f>+(F25/J25)-1</f>
        <v>0.5985322685085257</v>
      </c>
      <c r="G77" s="31">
        <f>+(G25/K25)-1</f>
        <v>-0.0037789324515824507</v>
      </c>
      <c r="H77" s="30">
        <f>+(H25/4964)-1</f>
        <v>-0.0273972602739726</v>
      </c>
      <c r="I77" s="30">
        <f>+(I25/5432)-1</f>
        <v>0.8311855670103092</v>
      </c>
      <c r="J77" s="37">
        <f>+(J25/3321)-1</f>
        <v>0.3950617283950617</v>
      </c>
      <c r="K77" s="29">
        <f>+(K25/L25)-1</f>
        <v>0.1486706456863809</v>
      </c>
      <c r="L77" s="30">
        <v>0</v>
      </c>
    </row>
    <row r="78" spans="1:12" ht="11.25">
      <c r="A78" s="2" t="s">
        <v>67</v>
      </c>
      <c r="B78" s="2"/>
      <c r="C78" s="33">
        <f>(C40/G40)-1</f>
        <v>0.38159116706222274</v>
      </c>
      <c r="D78" s="33">
        <f>(D40/H40)-1</f>
        <v>-0.06061340768578005</v>
      </c>
      <c r="E78" s="33">
        <f>(E40/I40)-1</f>
        <v>-0.4291126329593472</v>
      </c>
      <c r="F78" s="33">
        <f>+(F40/J40)-1</f>
        <v>-0.015318627450980338</v>
      </c>
      <c r="G78" s="34">
        <f>+(G40/K40)-1</f>
        <v>0.8171760735045941</v>
      </c>
      <c r="H78" s="33">
        <f>+(H40/3945)-1</f>
        <v>1.091001267427123</v>
      </c>
      <c r="I78" s="33">
        <f>+(I40/2431)-1</f>
        <v>1.823118058412176</v>
      </c>
      <c r="J78" s="35">
        <f>+(J40/321)-1</f>
        <v>4.08411214953271</v>
      </c>
      <c r="K78" s="33">
        <f>+(K40/L40)-1</f>
        <v>-0.04065479402770278</v>
      </c>
      <c r="L78" s="33">
        <v>0</v>
      </c>
    </row>
    <row r="80" ht="11.25">
      <c r="A80" s="1" t="s">
        <v>68</v>
      </c>
    </row>
    <row r="81" ht="11.25">
      <c r="A81" s="1" t="s">
        <v>69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7522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2002-03-19T16:28:28Z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