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380" windowHeight="6030" activeTab="0"/>
  </bookViews>
  <sheets>
    <sheet name="Platina" sheetId="1" r:id="rId1"/>
  </sheets>
  <definedNames/>
  <calcPr fullCalcOnLoad="1"/>
</workbook>
</file>

<file path=xl/sharedStrings.xml><?xml version="1.0" encoding="utf-8"?>
<sst xmlns="http://schemas.openxmlformats.org/spreadsheetml/2006/main" count="84" uniqueCount="68">
  <si>
    <t>CUADRO No. 19-3</t>
  </si>
  <si>
    <t>BANCO ALEMAN PLATINA</t>
  </si>
  <si>
    <t>ESTADISTICA FINANCIERA. AÑOS 1999, TRIMESTRES DE 2000 Y 2001</t>
  </si>
  <si>
    <t>(En miles de balboas)</t>
  </si>
  <si>
    <t>Años</t>
  </si>
  <si>
    <t>Diciembre</t>
  </si>
  <si>
    <t>Septiembre</t>
  </si>
  <si>
    <t>Junio</t>
  </si>
  <si>
    <t>Marzo</t>
  </si>
  <si>
    <t>1999</t>
  </si>
  <si>
    <t>1998</t>
  </si>
  <si>
    <t>Balance de Situación</t>
  </si>
  <si>
    <t>Total de Activos</t>
  </si>
  <si>
    <t>Activos Líquidos</t>
  </si>
  <si>
    <t>Total de Préstamos</t>
  </si>
  <si>
    <t>Internos</t>
  </si>
  <si>
    <t>Externos</t>
  </si>
  <si>
    <t>Total de Inversiones</t>
  </si>
  <si>
    <t>Total de Depósitos</t>
  </si>
  <si>
    <t xml:space="preserve">     Depósitos de Oficiales</t>
  </si>
  <si>
    <t xml:space="preserve">     Depósitos de Particulares</t>
  </si>
  <si>
    <t xml:space="preserve">     Depósitos de Bancos</t>
  </si>
  <si>
    <t>Patrimonio Total</t>
  </si>
  <si>
    <t>Promedio (12 meses)</t>
  </si>
  <si>
    <t>Activos Generadores de Ingresos</t>
  </si>
  <si>
    <t>Estado de Ganancias y Pérdidas</t>
  </si>
  <si>
    <t>Ingreso por Intereses</t>
  </si>
  <si>
    <t>Egreso de Operaciones</t>
  </si>
  <si>
    <t>Ingreso Neto de Intereses</t>
  </si>
  <si>
    <t>Otros Ingresos</t>
  </si>
  <si>
    <t>Ingreso de Operaciones</t>
  </si>
  <si>
    <t>Egresos Generales</t>
  </si>
  <si>
    <t>Utilidad antes de Provisiones</t>
  </si>
  <si>
    <t>Utilidad del Período</t>
  </si>
  <si>
    <t>Calidad de Activos</t>
  </si>
  <si>
    <t>Total de Préstamos Vencidos</t>
  </si>
  <si>
    <t>Total de Provisiones para Préstamos</t>
  </si>
  <si>
    <t>Préstamos Vencidos / Préstamos Totales</t>
  </si>
  <si>
    <t>Total de Provisiones / Préstamos Vencidos</t>
  </si>
  <si>
    <t>Provisiones Cuentas Malas / Préstamos Totales</t>
  </si>
  <si>
    <t>RAZONES DE CAPITAL</t>
  </si>
  <si>
    <t>Patrimonio / Préstamos Totales</t>
  </si>
  <si>
    <t>Patrimonio / Activos Generadores de Ingreso</t>
  </si>
  <si>
    <t>Liquidez</t>
  </si>
  <si>
    <t>Activo Líquido / Total de Depósitos</t>
  </si>
  <si>
    <t>Activo Líquido / Activo Total</t>
  </si>
  <si>
    <t>Activo Líquido + Inversiones / Depósitos Totales</t>
  </si>
  <si>
    <t>Rentabilidad</t>
  </si>
  <si>
    <t>Utilidad Neta / Activos Gen. de Ingresos (Promedio)</t>
  </si>
  <si>
    <t>Utilidad Neta / Total de Activos (Promedio)</t>
  </si>
  <si>
    <t>Utilidad Neta / Patrimonio Total (Promedio)</t>
  </si>
  <si>
    <t>Ingresos por Intereses / Activos Gen. De Ingreso (Promedio)</t>
  </si>
  <si>
    <t>Egresos Operaciones / Activos Gen. De Ingreso (Promedio)</t>
  </si>
  <si>
    <t>Ingresos Netos por Intereses / Activos Gen. De Ingreso (Promedio)</t>
  </si>
  <si>
    <t>Egresos Generales / Ingresos de Operaciones</t>
  </si>
  <si>
    <t>Otros Ingresos / Activos Gen. De Ingreso (Promedio)</t>
  </si>
  <si>
    <t>Productividad</t>
  </si>
  <si>
    <t>Número de Empleados</t>
  </si>
  <si>
    <t>Sucursales</t>
  </si>
  <si>
    <t>Préstamos / Empleados (En miles de balboas)</t>
  </si>
  <si>
    <t>Depósitos Totales / Empleados (En miles de balboas)</t>
  </si>
  <si>
    <t>Utilidad Neta / Empleados (En miles de balboas)</t>
  </si>
  <si>
    <t>Tasas de Crecimiento (12 meses)</t>
  </si>
  <si>
    <t>Activos</t>
  </si>
  <si>
    <t>Préstamos</t>
  </si>
  <si>
    <t>Depósitos</t>
  </si>
  <si>
    <t>Capital</t>
  </si>
  <si>
    <t>Utilidad Neta</t>
  </si>
</sst>
</file>

<file path=xl/styles.xml><?xml version="1.0" encoding="utf-8"?>
<styleSheet xmlns="http://schemas.openxmlformats.org/spreadsheetml/2006/main">
  <numFmts count="37">
    <numFmt numFmtId="5" formatCode="&quot;B&quot;#,##0_);\(&quot;B&quot;#,##0\)"/>
    <numFmt numFmtId="6" formatCode="&quot;B&quot;#,##0_);[Red]\(&quot;B&quot;#,##0\)"/>
    <numFmt numFmtId="7" formatCode="&quot;B&quot;#,##0.00_);\(&quot;B&quot;#,##0.00\)"/>
    <numFmt numFmtId="8" formatCode="&quot;B&quot;#,##0.00_);[Red]\(&quot;B&quot;#,##0.00\)"/>
    <numFmt numFmtId="42" formatCode="_(&quot;B&quot;* #,##0_);_(&quot;B&quot;* \(#,##0\);_(&quot;B&quot;* &quot;-&quot;_);_(@_)"/>
    <numFmt numFmtId="41" formatCode="_(* #,##0_);_(* \(#,##0\);_(* &quot;-&quot;_);_(@_)"/>
    <numFmt numFmtId="44" formatCode="_(&quot;B&quot;* #,##0.00_);_(&quot;B&quot;* \(#,##0.00\);_(&quot;B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B/.&quot;\ #,##0;&quot;B/.&quot;\ \-#,##0"/>
    <numFmt numFmtId="171" formatCode="&quot;B/.&quot;\ #,##0;[Red]&quot;B/.&quot;\ \-#,##0"/>
    <numFmt numFmtId="172" formatCode="&quot;B/.&quot;\ #,##0.00;&quot;B/.&quot;\ \-#,##0.00"/>
    <numFmt numFmtId="173" formatCode="&quot;B/.&quot;\ #,##0.00;[Red]&quot;B/.&quot;\ \-#,##0.00"/>
    <numFmt numFmtId="174" formatCode="_ &quot;B/.&quot;\ * #,##0_ ;_ &quot;B/.&quot;\ * \-#,##0_ ;_ &quot;B/.&quot;\ * &quot;-&quot;_ ;_ @_ "/>
    <numFmt numFmtId="175" formatCode="_ * #,##0_ ;_ * \-#,##0_ ;_ * &quot;-&quot;_ ;_ @_ "/>
    <numFmt numFmtId="176" formatCode="_ &quot;B/.&quot;\ * #,##0.00_ ;_ &quot;B/.&quot;\ * \-#,##0.00_ ;_ &quot;B/.&quot;\ * &quot;-&quot;??_ ;_ @_ "/>
    <numFmt numFmtId="177" formatCode="_ * #,##0.00_ ;_ * \-#,##0.00_ ;_ * &quot;-&quot;??_ ;_ @_ "/>
    <numFmt numFmtId="178" formatCode="_(* #,##0.0_);_(* \(#,##0.0\);_(* &quot;-&quot;??_);_(@_)"/>
    <numFmt numFmtId="179" formatCode="_(* #,##0_);_(* \(#,##0\);_(* &quot;-&quot;??_);_(@_)"/>
    <numFmt numFmtId="180" formatCode="_(* #,##0.000_);_(* \(#,##0.000\);_(* &quot;-&quot;??_);_(@_)"/>
    <numFmt numFmtId="181" formatCode="0.0"/>
    <numFmt numFmtId="182" formatCode="0.0%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_(* #,##0.0000_);_(* \(#,##0.0000\);_(* &quot;-&quot;??_);_(@_)"/>
    <numFmt numFmtId="190" formatCode="0.000%"/>
    <numFmt numFmtId="191" formatCode="0_ ;\-0\ "/>
    <numFmt numFmtId="192" formatCode="_(* #,##0.00000_);_(* \(#,##0.00000\);_(* &quot;-&quot;??_);_(@_)"/>
  </numFmts>
  <fonts count="3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1" fillId="0" borderId="0" xfId="0" applyFont="1" applyAlignment="1">
      <alignment/>
    </xf>
    <xf numFmtId="179" fontId="1" fillId="0" borderId="0" xfId="15" applyNumberFormat="1" applyFont="1" applyAlignment="1">
      <alignment/>
    </xf>
    <xf numFmtId="179" fontId="1" fillId="0" borderId="3" xfId="15" applyNumberFormat="1" applyFont="1" applyBorder="1" applyAlignment="1">
      <alignment/>
    </xf>
    <xf numFmtId="179" fontId="1" fillId="0" borderId="0" xfId="15" applyNumberFormat="1" applyFont="1" applyBorder="1" applyAlignment="1">
      <alignment/>
    </xf>
    <xf numFmtId="179" fontId="1" fillId="0" borderId="4" xfId="15" applyNumberFormat="1" applyFont="1" applyBorder="1" applyAlignment="1">
      <alignment/>
    </xf>
    <xf numFmtId="179" fontId="2" fillId="0" borderId="0" xfId="15" applyNumberFormat="1" applyFont="1" applyAlignment="1">
      <alignment/>
    </xf>
    <xf numFmtId="179" fontId="2" fillId="0" borderId="3" xfId="15" applyNumberFormat="1" applyFont="1" applyBorder="1" applyAlignment="1">
      <alignment/>
    </xf>
    <xf numFmtId="179" fontId="2" fillId="0" borderId="0" xfId="15" applyNumberFormat="1" applyFont="1" applyBorder="1" applyAlignment="1">
      <alignment/>
    </xf>
    <xf numFmtId="179" fontId="2" fillId="0" borderId="4" xfId="15" applyNumberFormat="1" applyFont="1" applyBorder="1" applyAlignment="1">
      <alignment/>
    </xf>
    <xf numFmtId="43" fontId="2" fillId="0" borderId="0" xfId="15" applyFont="1" applyAlignment="1">
      <alignment/>
    </xf>
    <xf numFmtId="179" fontId="2" fillId="0" borderId="1" xfId="15" applyNumberFormat="1" applyFont="1" applyBorder="1" applyAlignment="1">
      <alignment/>
    </xf>
    <xf numFmtId="179" fontId="2" fillId="0" borderId="5" xfId="15" applyNumberFormat="1" applyFont="1" applyBorder="1" applyAlignment="1">
      <alignment/>
    </xf>
    <xf numFmtId="179" fontId="2" fillId="0" borderId="6" xfId="15" applyNumberFormat="1" applyFont="1" applyBorder="1" applyAlignment="1">
      <alignment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4" xfId="0" applyFont="1" applyBorder="1" applyAlignment="1">
      <alignment/>
    </xf>
    <xf numFmtId="43" fontId="2" fillId="0" borderId="3" xfId="15" applyFont="1" applyBorder="1" applyAlignment="1">
      <alignment/>
    </xf>
    <xf numFmtId="43" fontId="2" fillId="0" borderId="0" xfId="15" applyFont="1" applyBorder="1" applyAlignment="1">
      <alignment/>
    </xf>
    <xf numFmtId="43" fontId="2" fillId="0" borderId="4" xfId="15" applyFont="1" applyBorder="1" applyAlignment="1">
      <alignment/>
    </xf>
    <xf numFmtId="10" fontId="2" fillId="0" borderId="0" xfId="19" applyNumberFormat="1" applyFont="1" applyAlignment="1">
      <alignment/>
    </xf>
    <xf numFmtId="10" fontId="2" fillId="0" borderId="3" xfId="19" applyNumberFormat="1" applyFont="1" applyBorder="1" applyAlignment="1">
      <alignment/>
    </xf>
    <xf numFmtId="10" fontId="2" fillId="0" borderId="0" xfId="19" applyNumberFormat="1" applyFont="1" applyBorder="1" applyAlignment="1">
      <alignment/>
    </xf>
    <xf numFmtId="10" fontId="2" fillId="0" borderId="4" xfId="19" applyNumberFormat="1" applyFont="1" applyBorder="1" applyAlignment="1">
      <alignment/>
    </xf>
    <xf numFmtId="10" fontId="2" fillId="0" borderId="1" xfId="19" applyNumberFormat="1" applyFont="1" applyBorder="1" applyAlignment="1">
      <alignment/>
    </xf>
    <xf numFmtId="10" fontId="2" fillId="0" borderId="5" xfId="19" applyNumberFormat="1" applyFont="1" applyBorder="1" applyAlignment="1">
      <alignment/>
    </xf>
    <xf numFmtId="10" fontId="2" fillId="0" borderId="6" xfId="19" applyNumberFormat="1" applyFont="1" applyBorder="1" applyAlignment="1">
      <alignment/>
    </xf>
    <xf numFmtId="0" fontId="2" fillId="0" borderId="7" xfId="0" applyFont="1" applyBorder="1" applyAlignment="1">
      <alignment/>
    </xf>
    <xf numFmtId="182" fontId="2" fillId="0" borderId="0" xfId="19" applyNumberFormat="1" applyFont="1" applyAlignment="1">
      <alignment/>
    </xf>
    <xf numFmtId="182" fontId="2" fillId="0" borderId="1" xfId="19" applyNumberFormat="1" applyFont="1" applyBorder="1" applyAlignment="1">
      <alignment/>
    </xf>
    <xf numFmtId="10" fontId="2" fillId="0" borderId="0" xfId="19" applyNumberFormat="1" applyFont="1" applyFill="1" applyBorder="1" applyAlignment="1">
      <alignment/>
    </xf>
    <xf numFmtId="10" fontId="2" fillId="0" borderId="3" xfId="19" applyNumberFormat="1" applyFont="1" applyFill="1" applyBorder="1" applyAlignment="1">
      <alignment/>
    </xf>
    <xf numFmtId="10" fontId="2" fillId="0" borderId="1" xfId="19" applyNumberFormat="1" applyFont="1" applyFill="1" applyBorder="1" applyAlignment="1">
      <alignment/>
    </xf>
    <xf numFmtId="10" fontId="2" fillId="0" borderId="5" xfId="19" applyNumberFormat="1" applyFont="1" applyFill="1" applyBorder="1" applyAlignment="1">
      <alignment/>
    </xf>
    <xf numFmtId="179" fontId="2" fillId="0" borderId="0" xfId="15" applyNumberFormat="1" applyFont="1" applyFill="1" applyAlignment="1">
      <alignment/>
    </xf>
    <xf numFmtId="43" fontId="2" fillId="0" borderId="6" xfId="15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right"/>
    </xf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I78"/>
  <sheetViews>
    <sheetView tabSelected="1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7" sqref="E7"/>
    </sheetView>
  </sheetViews>
  <sheetFormatPr defaultColWidth="11.421875" defaultRowHeight="12.75"/>
  <cols>
    <col min="1" max="1" width="3.7109375" style="1" customWidth="1"/>
    <col min="2" max="2" width="38.57421875" style="1" customWidth="1"/>
    <col min="3" max="3" width="8.57421875" style="1" customWidth="1"/>
    <col min="4" max="4" width="10.00390625" style="1" customWidth="1"/>
    <col min="5" max="6" width="7.7109375" style="1" bestFit="1" customWidth="1"/>
    <col min="7" max="7" width="8.8515625" style="1" customWidth="1"/>
    <col min="8" max="8" width="9.8515625" style="1" customWidth="1"/>
    <col min="9" max="11" width="7.7109375" style="1" bestFit="1" customWidth="1"/>
    <col min="12" max="12" width="6.421875" style="1" hidden="1" customWidth="1"/>
    <col min="13" max="16384" width="11.421875" style="1" customWidth="1"/>
  </cols>
  <sheetData>
    <row r="1" ht="11.25"/>
    <row r="2" spans="2:12" ht="11.25">
      <c r="B2" s="40"/>
      <c r="C2" s="40"/>
      <c r="D2" s="40"/>
      <c r="E2" s="40"/>
      <c r="F2" s="40" t="s">
        <v>0</v>
      </c>
      <c r="H2" s="40"/>
      <c r="I2" s="40"/>
      <c r="J2" s="40"/>
      <c r="K2" s="40"/>
      <c r="L2" s="40"/>
    </row>
    <row r="3" spans="2:12" ht="11.25">
      <c r="B3" s="40"/>
      <c r="C3" s="40"/>
      <c r="D3" s="40"/>
      <c r="E3" s="40"/>
      <c r="F3" s="40" t="s">
        <v>1</v>
      </c>
      <c r="H3" s="40"/>
      <c r="I3" s="40"/>
      <c r="J3" s="40"/>
      <c r="K3" s="40"/>
      <c r="L3" s="40"/>
    </row>
    <row r="4" spans="2:12" ht="11.25">
      <c r="B4" s="40"/>
      <c r="C4" s="40"/>
      <c r="D4" s="40"/>
      <c r="E4" s="40"/>
      <c r="F4" s="40" t="s">
        <v>2</v>
      </c>
      <c r="H4" s="40"/>
      <c r="I4" s="40"/>
      <c r="J4" s="40"/>
      <c r="K4" s="40"/>
      <c r="L4" s="40"/>
    </row>
    <row r="5" spans="2:12" ht="11.25">
      <c r="B5" s="39"/>
      <c r="C5" s="39"/>
      <c r="D5" s="39"/>
      <c r="E5" s="39"/>
      <c r="F5" s="39" t="s">
        <v>3</v>
      </c>
      <c r="H5" s="39"/>
      <c r="I5" s="39"/>
      <c r="J5" s="39"/>
      <c r="K5" s="39"/>
      <c r="L5" s="39"/>
    </row>
    <row r="6" spans="1:12" ht="11.25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</row>
    <row r="7" spans="1:12" ht="11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1.25">
      <c r="A8" s="3"/>
      <c r="B8" s="3"/>
      <c r="C8" s="47">
        <v>2001</v>
      </c>
      <c r="D8" s="47"/>
      <c r="E8" s="47"/>
      <c r="F8" s="48"/>
      <c r="G8" s="46">
        <v>2000</v>
      </c>
      <c r="H8" s="47"/>
      <c r="I8" s="47"/>
      <c r="J8" s="48"/>
      <c r="K8" s="47" t="s">
        <v>4</v>
      </c>
      <c r="L8" s="47"/>
    </row>
    <row r="9" spans="1:12" s="4" customFormat="1" ht="11.25">
      <c r="A9" s="41"/>
      <c r="B9" s="41"/>
      <c r="C9" s="42" t="s">
        <v>5</v>
      </c>
      <c r="D9" s="42" t="s">
        <v>6</v>
      </c>
      <c r="E9" s="41" t="s">
        <v>7</v>
      </c>
      <c r="F9" s="41" t="s">
        <v>8</v>
      </c>
      <c r="G9" s="43" t="s">
        <v>5</v>
      </c>
      <c r="H9" s="42" t="s">
        <v>6</v>
      </c>
      <c r="I9" s="42" t="s">
        <v>7</v>
      </c>
      <c r="J9" s="44" t="s">
        <v>8</v>
      </c>
      <c r="K9" s="45" t="s">
        <v>9</v>
      </c>
      <c r="L9" s="45" t="s">
        <v>10</v>
      </c>
    </row>
    <row r="10" spans="1:12" ht="11.25">
      <c r="A10" s="4" t="s">
        <v>11</v>
      </c>
      <c r="B10" s="4"/>
      <c r="C10" s="4"/>
      <c r="D10" s="4"/>
      <c r="E10" s="4"/>
      <c r="F10" s="5"/>
      <c r="G10" s="6"/>
      <c r="H10" s="7"/>
      <c r="I10" s="7"/>
      <c r="J10" s="8"/>
      <c r="K10" s="5"/>
      <c r="L10" s="5"/>
    </row>
    <row r="11" spans="1:12" ht="11.25">
      <c r="A11" s="1" t="s">
        <v>12</v>
      </c>
      <c r="C11" s="9">
        <v>300361</v>
      </c>
      <c r="D11" s="9">
        <v>291995</v>
      </c>
      <c r="E11" s="9">
        <v>324340</v>
      </c>
      <c r="F11" s="9">
        <v>337879</v>
      </c>
      <c r="G11" s="10">
        <v>320306</v>
      </c>
      <c r="H11" s="11">
        <v>312769</v>
      </c>
      <c r="I11" s="11">
        <v>340470</v>
      </c>
      <c r="J11" s="12">
        <v>359186</v>
      </c>
      <c r="K11" s="9">
        <v>334912</v>
      </c>
      <c r="L11" s="9">
        <v>341315</v>
      </c>
    </row>
    <row r="12" spans="1:12" ht="11.25">
      <c r="A12" s="1" t="s">
        <v>13</v>
      </c>
      <c r="C12" s="9">
        <v>58284</v>
      </c>
      <c r="D12" s="9">
        <v>75208</v>
      </c>
      <c r="E12" s="9">
        <v>81841</v>
      </c>
      <c r="F12" s="9">
        <v>88387</v>
      </c>
      <c r="G12" s="10">
        <v>64513</v>
      </c>
      <c r="H12" s="11">
        <v>68579</v>
      </c>
      <c r="I12" s="11">
        <v>41637</v>
      </c>
      <c r="J12" s="12">
        <v>42454</v>
      </c>
      <c r="K12" s="9">
        <v>44520</v>
      </c>
      <c r="L12" s="9">
        <v>56611</v>
      </c>
    </row>
    <row r="13" spans="1:12" ht="11.25">
      <c r="A13" s="1" t="s">
        <v>14</v>
      </c>
      <c r="C13" s="9">
        <f aca="true" t="shared" si="0" ref="C13:L13">C14+C15</f>
        <v>228813</v>
      </c>
      <c r="D13" s="9">
        <f t="shared" si="0"/>
        <v>207001</v>
      </c>
      <c r="E13" s="9">
        <f t="shared" si="0"/>
        <v>219073</v>
      </c>
      <c r="F13" s="9">
        <f t="shared" si="0"/>
        <v>228798</v>
      </c>
      <c r="G13" s="10">
        <f t="shared" si="0"/>
        <v>235991</v>
      </c>
      <c r="H13" s="11">
        <f t="shared" si="0"/>
        <v>227662</v>
      </c>
      <c r="I13" s="11">
        <f t="shared" si="0"/>
        <v>286343</v>
      </c>
      <c r="J13" s="12">
        <f t="shared" si="0"/>
        <v>306099</v>
      </c>
      <c r="K13" s="9">
        <f t="shared" si="0"/>
        <v>280113</v>
      </c>
      <c r="L13" s="9">
        <f t="shared" si="0"/>
        <v>272230</v>
      </c>
    </row>
    <row r="14" spans="2:12" ht="11.25">
      <c r="B14" s="1" t="s">
        <v>15</v>
      </c>
      <c r="D14" s="13">
        <v>0</v>
      </c>
      <c r="E14" s="9">
        <v>0</v>
      </c>
      <c r="F14" s="9">
        <v>0</v>
      </c>
      <c r="G14" s="10">
        <v>0</v>
      </c>
      <c r="H14" s="11">
        <v>0</v>
      </c>
      <c r="I14" s="11">
        <v>0</v>
      </c>
      <c r="J14" s="12">
        <v>0</v>
      </c>
      <c r="K14" s="9">
        <v>0</v>
      </c>
      <c r="L14" s="9">
        <v>0</v>
      </c>
    </row>
    <row r="15" spans="2:12" ht="11.25">
      <c r="B15" s="1" t="s">
        <v>16</v>
      </c>
      <c r="C15" s="9">
        <v>228813</v>
      </c>
      <c r="D15" s="9">
        <v>207001</v>
      </c>
      <c r="E15" s="9">
        <v>219073</v>
      </c>
      <c r="F15" s="9">
        <v>228798</v>
      </c>
      <c r="G15" s="10">
        <v>235991</v>
      </c>
      <c r="H15" s="11">
        <v>227662</v>
      </c>
      <c r="I15" s="11">
        <v>286343</v>
      </c>
      <c r="J15" s="12">
        <v>306099</v>
      </c>
      <c r="K15" s="9">
        <v>280113</v>
      </c>
      <c r="L15" s="9">
        <v>272230</v>
      </c>
    </row>
    <row r="16" spans="1:12" ht="11.25">
      <c r="A16" s="1" t="s">
        <v>17</v>
      </c>
      <c r="C16" s="9">
        <v>4245</v>
      </c>
      <c r="D16" s="9">
        <v>622</v>
      </c>
      <c r="E16" s="9">
        <v>9726</v>
      </c>
      <c r="F16" s="9">
        <v>6629</v>
      </c>
      <c r="G16" s="10">
        <v>6219</v>
      </c>
      <c r="H16" s="11">
        <v>1219</v>
      </c>
      <c r="I16" s="11">
        <v>1220</v>
      </c>
      <c r="J16" s="12">
        <v>1230</v>
      </c>
      <c r="K16" s="9">
        <v>1231</v>
      </c>
      <c r="L16" s="9">
        <v>325</v>
      </c>
    </row>
    <row r="17" spans="1:12" ht="11.25">
      <c r="A17" s="1" t="s">
        <v>18</v>
      </c>
      <c r="C17" s="9">
        <f aca="true" t="shared" si="1" ref="C17:L17">C18+C22</f>
        <v>235962</v>
      </c>
      <c r="D17" s="9">
        <f t="shared" si="1"/>
        <v>226938</v>
      </c>
      <c r="E17" s="9">
        <f t="shared" si="1"/>
        <v>245593</v>
      </c>
      <c r="F17" s="9">
        <f t="shared" si="1"/>
        <v>261660</v>
      </c>
      <c r="G17" s="10">
        <f t="shared" si="1"/>
        <v>251602</v>
      </c>
      <c r="H17" s="11">
        <f t="shared" si="1"/>
        <v>267702</v>
      </c>
      <c r="I17" s="11">
        <f t="shared" si="1"/>
        <v>277676</v>
      </c>
      <c r="J17" s="12">
        <f t="shared" si="1"/>
        <v>305075</v>
      </c>
      <c r="K17" s="9">
        <f t="shared" si="1"/>
        <v>284524</v>
      </c>
      <c r="L17" s="9">
        <f t="shared" si="1"/>
        <v>290330</v>
      </c>
    </row>
    <row r="18" spans="2:12" ht="11.25">
      <c r="B18" s="1" t="s">
        <v>15</v>
      </c>
      <c r="C18" s="9">
        <f aca="true" t="shared" si="2" ref="C18:L18">SUM(C19:C21)</f>
        <v>0</v>
      </c>
      <c r="D18" s="9">
        <f t="shared" si="2"/>
        <v>0</v>
      </c>
      <c r="E18" s="9">
        <f t="shared" si="2"/>
        <v>0</v>
      </c>
      <c r="F18" s="9">
        <f t="shared" si="2"/>
        <v>0</v>
      </c>
      <c r="G18" s="10">
        <f t="shared" si="2"/>
        <v>0</v>
      </c>
      <c r="H18" s="11">
        <f t="shared" si="2"/>
        <v>0</v>
      </c>
      <c r="I18" s="11">
        <f t="shared" si="2"/>
        <v>0</v>
      </c>
      <c r="J18" s="12">
        <f t="shared" si="2"/>
        <v>0</v>
      </c>
      <c r="K18" s="9">
        <f t="shared" si="2"/>
        <v>0</v>
      </c>
      <c r="L18" s="9">
        <f t="shared" si="2"/>
        <v>0</v>
      </c>
    </row>
    <row r="19" spans="2:12" ht="11.25">
      <c r="B19" s="1" t="s">
        <v>19</v>
      </c>
      <c r="C19" s="9">
        <v>0</v>
      </c>
      <c r="D19" s="9">
        <v>0</v>
      </c>
      <c r="E19" s="9">
        <v>0</v>
      </c>
      <c r="F19" s="9">
        <v>0</v>
      </c>
      <c r="G19" s="10">
        <v>0</v>
      </c>
      <c r="H19" s="11">
        <v>0</v>
      </c>
      <c r="I19" s="11">
        <v>0</v>
      </c>
      <c r="J19" s="12">
        <v>0</v>
      </c>
      <c r="K19" s="9">
        <v>0</v>
      </c>
      <c r="L19" s="9">
        <v>0</v>
      </c>
    </row>
    <row r="20" spans="2:12" ht="11.25">
      <c r="B20" s="1" t="s">
        <v>20</v>
      </c>
      <c r="C20" s="9">
        <v>0</v>
      </c>
      <c r="D20" s="9">
        <v>0</v>
      </c>
      <c r="E20" s="9">
        <v>0</v>
      </c>
      <c r="F20" s="9">
        <v>0</v>
      </c>
      <c r="G20" s="10">
        <v>0</v>
      </c>
      <c r="H20" s="11">
        <v>0</v>
      </c>
      <c r="I20" s="11">
        <v>0</v>
      </c>
      <c r="J20" s="12">
        <v>0</v>
      </c>
      <c r="K20" s="9">
        <v>0</v>
      </c>
      <c r="L20" s="9">
        <v>0</v>
      </c>
    </row>
    <row r="21" spans="2:12" ht="11.25">
      <c r="B21" s="1" t="s">
        <v>21</v>
      </c>
      <c r="C21" s="9">
        <v>0</v>
      </c>
      <c r="D21" s="9">
        <v>0</v>
      </c>
      <c r="E21" s="9">
        <v>0</v>
      </c>
      <c r="F21" s="9">
        <v>0</v>
      </c>
      <c r="G21" s="10">
        <v>0</v>
      </c>
      <c r="H21" s="11">
        <v>0</v>
      </c>
      <c r="I21" s="11">
        <v>0</v>
      </c>
      <c r="J21" s="12">
        <v>0</v>
      </c>
      <c r="K21" s="9">
        <v>0</v>
      </c>
      <c r="L21" s="9">
        <v>0</v>
      </c>
    </row>
    <row r="22" spans="2:12" ht="11.25">
      <c r="B22" s="1" t="s">
        <v>16</v>
      </c>
      <c r="C22" s="9">
        <f aca="true" t="shared" si="3" ref="C22:L22">SUM(C23:C24)</f>
        <v>235962</v>
      </c>
      <c r="D22" s="9">
        <f t="shared" si="3"/>
        <v>226938</v>
      </c>
      <c r="E22" s="9">
        <f t="shared" si="3"/>
        <v>245593</v>
      </c>
      <c r="F22" s="9">
        <f t="shared" si="3"/>
        <v>261660</v>
      </c>
      <c r="G22" s="10">
        <f t="shared" si="3"/>
        <v>251602</v>
      </c>
      <c r="H22" s="11">
        <f t="shared" si="3"/>
        <v>267702</v>
      </c>
      <c r="I22" s="11">
        <f t="shared" si="3"/>
        <v>277676</v>
      </c>
      <c r="J22" s="12">
        <f t="shared" si="3"/>
        <v>305075</v>
      </c>
      <c r="K22" s="9">
        <f t="shared" si="3"/>
        <v>284524</v>
      </c>
      <c r="L22" s="9">
        <f t="shared" si="3"/>
        <v>290330</v>
      </c>
    </row>
    <row r="23" spans="2:12" ht="11.25">
      <c r="B23" s="1" t="s">
        <v>20</v>
      </c>
      <c r="C23" s="9">
        <f>52879+160527</f>
        <v>213406</v>
      </c>
      <c r="D23" s="9">
        <f>36530+176304</f>
        <v>212834</v>
      </c>
      <c r="E23" s="9">
        <v>228621</v>
      </c>
      <c r="F23" s="9">
        <v>243949</v>
      </c>
      <c r="G23" s="10">
        <f>38255+196313</f>
        <v>234568</v>
      </c>
      <c r="H23" s="11">
        <v>247883</v>
      </c>
      <c r="I23" s="11">
        <v>236472</v>
      </c>
      <c r="J23" s="12">
        <v>262543</v>
      </c>
      <c r="K23" s="9">
        <v>261588</v>
      </c>
      <c r="L23" s="9">
        <v>253764</v>
      </c>
    </row>
    <row r="24" spans="2:12" ht="11.25">
      <c r="B24" s="1" t="s">
        <v>21</v>
      </c>
      <c r="C24" s="9">
        <v>22556</v>
      </c>
      <c r="D24" s="9">
        <f>10268+3836</f>
        <v>14104</v>
      </c>
      <c r="E24" s="9">
        <v>16972</v>
      </c>
      <c r="F24" s="9">
        <v>17711</v>
      </c>
      <c r="G24" s="10">
        <f>11946+5088</f>
        <v>17034</v>
      </c>
      <c r="H24" s="11">
        <v>19819</v>
      </c>
      <c r="I24" s="11">
        <v>41204</v>
      </c>
      <c r="J24" s="12">
        <v>42532</v>
      </c>
      <c r="K24" s="9">
        <v>22936</v>
      </c>
      <c r="L24" s="9">
        <v>36566</v>
      </c>
    </row>
    <row r="25" spans="1:12" ht="11.25">
      <c r="A25" s="2" t="s">
        <v>22</v>
      </c>
      <c r="B25" s="2"/>
      <c r="C25" s="14">
        <v>43589</v>
      </c>
      <c r="D25" s="14">
        <v>42830</v>
      </c>
      <c r="E25" s="14">
        <v>40495</v>
      </c>
      <c r="F25" s="14">
        <v>39807</v>
      </c>
      <c r="G25" s="15">
        <v>39264</v>
      </c>
      <c r="H25" s="14">
        <v>33508</v>
      </c>
      <c r="I25" s="14">
        <v>37927</v>
      </c>
      <c r="J25" s="16">
        <v>36437</v>
      </c>
      <c r="K25" s="14">
        <v>34496</v>
      </c>
      <c r="L25" s="14">
        <v>32162</v>
      </c>
    </row>
    <row r="26" spans="1:12" ht="11.25">
      <c r="A26" s="4" t="s">
        <v>23</v>
      </c>
      <c r="F26" s="9"/>
      <c r="G26" s="10"/>
      <c r="H26" s="11"/>
      <c r="I26" s="11"/>
      <c r="J26" s="12"/>
      <c r="K26" s="9"/>
      <c r="L26" s="9"/>
    </row>
    <row r="27" spans="1:12" ht="11.25">
      <c r="A27" s="1" t="s">
        <v>12</v>
      </c>
      <c r="C27" s="9">
        <f>(C11+G11)/2</f>
        <v>310333.5</v>
      </c>
      <c r="D27" s="9">
        <f>(D11+H11)/2</f>
        <v>302382</v>
      </c>
      <c r="E27" s="9">
        <f>(E11+I11)/2</f>
        <v>332405</v>
      </c>
      <c r="F27" s="9">
        <f>+(F11+J11)/2</f>
        <v>348532.5</v>
      </c>
      <c r="G27" s="10">
        <f>+(G11+K11)/2</f>
        <v>327609</v>
      </c>
      <c r="H27" s="11">
        <f>+(284477+H11)/2</f>
        <v>298623</v>
      </c>
      <c r="I27" s="11">
        <f>+(289329+I11)/2</f>
        <v>314899.5</v>
      </c>
      <c r="J27" s="12">
        <f>+(262711+J11)/2</f>
        <v>310948.5</v>
      </c>
      <c r="K27" s="9">
        <f>+(K11+L11)/2</f>
        <v>338113.5</v>
      </c>
      <c r="L27" s="9">
        <f>(L11+269980)/2</f>
        <v>305647.5</v>
      </c>
    </row>
    <row r="28" spans="1:12" ht="11.25">
      <c r="A28" s="1" t="s">
        <v>24</v>
      </c>
      <c r="C28" s="9">
        <f aca="true" t="shared" si="4" ref="C28:L28">C29+C30</f>
        <v>237634</v>
      </c>
      <c r="D28" s="9">
        <f t="shared" si="4"/>
        <v>218252</v>
      </c>
      <c r="E28" s="9">
        <f t="shared" si="4"/>
        <v>258181</v>
      </c>
      <c r="F28" s="9">
        <f t="shared" si="4"/>
        <v>271378</v>
      </c>
      <c r="G28" s="10">
        <f t="shared" si="4"/>
        <v>261777</v>
      </c>
      <c r="H28" s="11">
        <f t="shared" si="4"/>
        <v>237345.5</v>
      </c>
      <c r="I28" s="11">
        <f t="shared" si="4"/>
        <v>290889</v>
      </c>
      <c r="J28" s="12">
        <f t="shared" si="4"/>
        <v>290439</v>
      </c>
      <c r="K28" s="9">
        <f t="shared" si="4"/>
        <v>276949.5</v>
      </c>
      <c r="L28" s="9">
        <f t="shared" si="4"/>
        <v>258075</v>
      </c>
    </row>
    <row r="29" spans="2:12" ht="11.25">
      <c r="B29" s="1" t="s">
        <v>14</v>
      </c>
      <c r="C29" s="9">
        <f>(C13+G13)/2</f>
        <v>232402</v>
      </c>
      <c r="D29" s="9">
        <f>(D13+H13)/2</f>
        <v>217331.5</v>
      </c>
      <c r="E29" s="9">
        <f>(E13+I13)/2</f>
        <v>252708</v>
      </c>
      <c r="F29" s="9">
        <f>+(F13+J13)/2</f>
        <v>267448.5</v>
      </c>
      <c r="G29" s="10">
        <f>+(G13+K13)/2</f>
        <v>258052</v>
      </c>
      <c r="H29" s="11">
        <f>+(244503+H13)/2</f>
        <v>236082.5</v>
      </c>
      <c r="I29" s="11">
        <f>+(292898+I13)/2</f>
        <v>289620.5</v>
      </c>
      <c r="J29" s="12">
        <f>+(273228+J13)/2</f>
        <v>289663.5</v>
      </c>
      <c r="K29" s="9">
        <f>+(K13+L13)/2</f>
        <v>276171.5</v>
      </c>
      <c r="L29" s="9">
        <f>(L13+242966)/2</f>
        <v>257598</v>
      </c>
    </row>
    <row r="30" spans="2:12" ht="11.25">
      <c r="B30" s="1" t="s">
        <v>17</v>
      </c>
      <c r="C30" s="9">
        <f>(C16+G16)/2</f>
        <v>5232</v>
      </c>
      <c r="D30" s="9">
        <f>(D16+H16)/2</f>
        <v>920.5</v>
      </c>
      <c r="E30" s="9">
        <f>(E16+I16)/2</f>
        <v>5473</v>
      </c>
      <c r="F30" s="9">
        <f>+(F16+J16)/2</f>
        <v>3929.5</v>
      </c>
      <c r="G30" s="10">
        <f>+(G16+K16)/2</f>
        <v>3725</v>
      </c>
      <c r="H30" s="11">
        <f>+(1307+H16)/2</f>
        <v>1263</v>
      </c>
      <c r="I30" s="11">
        <f>+(1317+I16)/2</f>
        <v>1268.5</v>
      </c>
      <c r="J30" s="12">
        <f>+(321+J16)/2</f>
        <v>775.5</v>
      </c>
      <c r="K30" s="9">
        <f>+(K16+L16)/2</f>
        <v>778</v>
      </c>
      <c r="L30" s="9">
        <f>(L16+629)/2</f>
        <v>477</v>
      </c>
    </row>
    <row r="31" spans="1:12" ht="11.25">
      <c r="A31" s="2" t="s">
        <v>22</v>
      </c>
      <c r="B31" s="2"/>
      <c r="C31" s="14">
        <f>(C25+G25)/2</f>
        <v>41426.5</v>
      </c>
      <c r="D31" s="14">
        <f>(D25+H25)/2</f>
        <v>38169</v>
      </c>
      <c r="E31" s="14">
        <f>(E25+I25)/2</f>
        <v>39211</v>
      </c>
      <c r="F31" s="14">
        <f>+(F25+J25)/2</f>
        <v>38122</v>
      </c>
      <c r="G31" s="15">
        <f>+(G25+K25)/2</f>
        <v>36880</v>
      </c>
      <c r="H31" s="14">
        <f>+(33185+H25)/2</f>
        <v>33346.5</v>
      </c>
      <c r="I31" s="14">
        <f>+(33397+I25)/2</f>
        <v>35662</v>
      </c>
      <c r="J31" s="16">
        <f>+(33185+J25)/2</f>
        <v>34811</v>
      </c>
      <c r="K31" s="14">
        <f>+(K25+L25)/2</f>
        <v>33329</v>
      </c>
      <c r="L31" s="14">
        <f>(L25+26700)/2</f>
        <v>29431</v>
      </c>
    </row>
    <row r="32" spans="1:10" ht="11.25">
      <c r="A32" s="4" t="s">
        <v>25</v>
      </c>
      <c r="F32" s="9"/>
      <c r="G32" s="17"/>
      <c r="H32" s="18"/>
      <c r="I32" s="18"/>
      <c r="J32" s="19"/>
    </row>
    <row r="33" spans="1:12" ht="11.25">
      <c r="A33" s="1" t="s">
        <v>26</v>
      </c>
      <c r="C33" s="9">
        <v>23720</v>
      </c>
      <c r="D33" s="9">
        <v>18606</v>
      </c>
      <c r="E33" s="9">
        <v>12865</v>
      </c>
      <c r="F33" s="9">
        <v>6696</v>
      </c>
      <c r="G33" s="10">
        <v>29399</v>
      </c>
      <c r="H33" s="11">
        <v>22206</v>
      </c>
      <c r="I33" s="11">
        <v>15323</v>
      </c>
      <c r="J33" s="12">
        <v>7660</v>
      </c>
      <c r="K33" s="9">
        <v>24415</v>
      </c>
      <c r="L33" s="9">
        <v>23964</v>
      </c>
    </row>
    <row r="34" spans="1:12" ht="11.25">
      <c r="A34" s="1" t="s">
        <v>27</v>
      </c>
      <c r="C34" s="9">
        <v>14475</v>
      </c>
      <c r="D34" s="9">
        <v>11640</v>
      </c>
      <c r="E34" s="9">
        <v>8190</v>
      </c>
      <c r="F34" s="9">
        <v>4356</v>
      </c>
      <c r="G34" s="10">
        <v>18928</v>
      </c>
      <c r="H34" s="11">
        <v>13982</v>
      </c>
      <c r="I34" s="11">
        <v>9438</v>
      </c>
      <c r="J34" s="12">
        <v>4805</v>
      </c>
      <c r="K34" s="9">
        <v>16813</v>
      </c>
      <c r="L34" s="9">
        <v>14438</v>
      </c>
    </row>
    <row r="35" spans="1:12" ht="11.25">
      <c r="A35" s="1" t="s">
        <v>28</v>
      </c>
      <c r="C35" s="9">
        <f>+C33-C34</f>
        <v>9245</v>
      </c>
      <c r="D35" s="9">
        <f aca="true" t="shared" si="5" ref="D35:L35">D33-D34</f>
        <v>6966</v>
      </c>
      <c r="E35" s="9">
        <f t="shared" si="5"/>
        <v>4675</v>
      </c>
      <c r="F35" s="9">
        <f t="shared" si="5"/>
        <v>2340</v>
      </c>
      <c r="G35" s="10">
        <f t="shared" si="5"/>
        <v>10471</v>
      </c>
      <c r="H35" s="11">
        <f t="shared" si="5"/>
        <v>8224</v>
      </c>
      <c r="I35" s="11">
        <f t="shared" si="5"/>
        <v>5885</v>
      </c>
      <c r="J35" s="12">
        <f t="shared" si="5"/>
        <v>2855</v>
      </c>
      <c r="K35" s="9">
        <f t="shared" si="5"/>
        <v>7602</v>
      </c>
      <c r="L35" s="9">
        <f t="shared" si="5"/>
        <v>9526</v>
      </c>
    </row>
    <row r="36" spans="1:12" ht="11.25">
      <c r="A36" s="1" t="s">
        <v>29</v>
      </c>
      <c r="C36" s="9">
        <v>3351</v>
      </c>
      <c r="D36" s="9">
        <v>2881</v>
      </c>
      <c r="E36" s="9">
        <v>884</v>
      </c>
      <c r="F36" s="9">
        <v>494</v>
      </c>
      <c r="G36" s="10">
        <v>2515</v>
      </c>
      <c r="H36" s="11">
        <v>2152</v>
      </c>
      <c r="I36" s="11">
        <v>1673</v>
      </c>
      <c r="J36" s="12">
        <v>1116</v>
      </c>
      <c r="K36" s="9">
        <v>3113</v>
      </c>
      <c r="L36" s="9">
        <v>2619</v>
      </c>
    </row>
    <row r="37" spans="1:12" ht="11.25">
      <c r="A37" s="1" t="s">
        <v>30</v>
      </c>
      <c r="C37" s="9">
        <f>+C36+C35</f>
        <v>12596</v>
      </c>
      <c r="D37" s="9">
        <f aca="true" t="shared" si="6" ref="D37:L37">D35+D36</f>
        <v>9847</v>
      </c>
      <c r="E37" s="9">
        <f t="shared" si="6"/>
        <v>5559</v>
      </c>
      <c r="F37" s="9">
        <f t="shared" si="6"/>
        <v>2834</v>
      </c>
      <c r="G37" s="10">
        <f t="shared" si="6"/>
        <v>12986</v>
      </c>
      <c r="H37" s="11">
        <f t="shared" si="6"/>
        <v>10376</v>
      </c>
      <c r="I37" s="11">
        <f t="shared" si="6"/>
        <v>7558</v>
      </c>
      <c r="J37" s="12">
        <f t="shared" si="6"/>
        <v>3971</v>
      </c>
      <c r="K37" s="9">
        <f t="shared" si="6"/>
        <v>10715</v>
      </c>
      <c r="L37" s="9">
        <f t="shared" si="6"/>
        <v>12145</v>
      </c>
    </row>
    <row r="38" spans="1:12" ht="11.25">
      <c r="A38" s="1" t="s">
        <v>31</v>
      </c>
      <c r="C38" s="9">
        <v>6015</v>
      </c>
      <c r="D38" s="9">
        <v>4596</v>
      </c>
      <c r="E38" s="9">
        <v>3208</v>
      </c>
      <c r="F38" s="9">
        <v>1710</v>
      </c>
      <c r="G38" s="10">
        <v>15532</v>
      </c>
      <c r="H38" s="11">
        <v>13971</v>
      </c>
      <c r="I38" s="11">
        <v>3008</v>
      </c>
      <c r="J38" s="12">
        <v>1427</v>
      </c>
      <c r="K38" s="9">
        <v>6271</v>
      </c>
      <c r="L38" s="9">
        <v>4792</v>
      </c>
    </row>
    <row r="39" spans="1:12" ht="11.25">
      <c r="A39" s="1" t="s">
        <v>32</v>
      </c>
      <c r="C39" s="9">
        <f>+C37-C38</f>
        <v>6581</v>
      </c>
      <c r="D39" s="9">
        <f aca="true" t="shared" si="7" ref="D39:L39">D37-D38</f>
        <v>5251</v>
      </c>
      <c r="E39" s="9">
        <f t="shared" si="7"/>
        <v>2351</v>
      </c>
      <c r="F39" s="9">
        <f t="shared" si="7"/>
        <v>1124</v>
      </c>
      <c r="G39" s="10">
        <f t="shared" si="7"/>
        <v>-2546</v>
      </c>
      <c r="H39" s="11">
        <f t="shared" si="7"/>
        <v>-3595</v>
      </c>
      <c r="I39" s="11">
        <f t="shared" si="7"/>
        <v>4550</v>
      </c>
      <c r="J39" s="12">
        <f t="shared" si="7"/>
        <v>2544</v>
      </c>
      <c r="K39" s="9">
        <f t="shared" si="7"/>
        <v>4444</v>
      </c>
      <c r="L39" s="9">
        <f t="shared" si="7"/>
        <v>7353</v>
      </c>
    </row>
    <row r="40" spans="1:12" ht="11.25">
      <c r="A40" s="2" t="s">
        <v>33</v>
      </c>
      <c r="B40" s="2"/>
      <c r="C40" s="14">
        <f>+C39-2255</f>
        <v>4326</v>
      </c>
      <c r="D40" s="14">
        <f>5251-1685</f>
        <v>3566</v>
      </c>
      <c r="E40" s="14">
        <v>1231</v>
      </c>
      <c r="F40" s="14">
        <v>543</v>
      </c>
      <c r="G40" s="15">
        <v>-25236</v>
      </c>
      <c r="H40" s="14">
        <v>-25988</v>
      </c>
      <c r="I40" s="14">
        <v>3431</v>
      </c>
      <c r="J40" s="16">
        <v>1941</v>
      </c>
      <c r="K40" s="14">
        <v>2973</v>
      </c>
      <c r="L40" s="14">
        <v>5759</v>
      </c>
    </row>
    <row r="41" spans="1:10" ht="11.25">
      <c r="A41" s="4" t="s">
        <v>34</v>
      </c>
      <c r="E41" s="9"/>
      <c r="G41" s="17"/>
      <c r="H41" s="18"/>
      <c r="I41" s="18"/>
      <c r="J41" s="19"/>
    </row>
    <row r="42" spans="1:12" ht="11.25">
      <c r="A42" s="1" t="s">
        <v>35</v>
      </c>
      <c r="C42" s="9">
        <v>4975</v>
      </c>
      <c r="D42" s="9">
        <v>4980</v>
      </c>
      <c r="E42" s="9">
        <v>15035</v>
      </c>
      <c r="F42" s="9">
        <v>34701</v>
      </c>
      <c r="G42" s="20">
        <v>0</v>
      </c>
      <c r="H42" s="21">
        <v>0</v>
      </c>
      <c r="I42" s="21">
        <v>0</v>
      </c>
      <c r="J42" s="22">
        <v>0</v>
      </c>
      <c r="K42" s="13">
        <v>0</v>
      </c>
      <c r="L42" s="13">
        <v>0</v>
      </c>
    </row>
    <row r="43" spans="1:12" ht="11.25">
      <c r="A43" s="1" t="s">
        <v>36</v>
      </c>
      <c r="C43" s="9">
        <v>18218</v>
      </c>
      <c r="D43" s="9">
        <v>17648</v>
      </c>
      <c r="E43" s="9">
        <v>27121</v>
      </c>
      <c r="F43" s="9">
        <v>26581</v>
      </c>
      <c r="G43" s="10">
        <v>26167</v>
      </c>
      <c r="H43" s="11">
        <v>5170</v>
      </c>
      <c r="I43" s="11">
        <v>4596</v>
      </c>
      <c r="J43" s="12">
        <v>4079</v>
      </c>
      <c r="K43" s="9">
        <v>3749</v>
      </c>
      <c r="L43" s="9">
        <v>1331</v>
      </c>
    </row>
    <row r="44" spans="1:12" ht="11.25">
      <c r="A44" s="1" t="s">
        <v>37</v>
      </c>
      <c r="C44" s="23">
        <f>C42/C13</f>
        <v>0.021742645741282183</v>
      </c>
      <c r="D44" s="23">
        <f>D42/D13</f>
        <v>0.024057854792972014</v>
      </c>
      <c r="E44" s="23">
        <f>E42/E13</f>
        <v>0.06863009133941654</v>
      </c>
      <c r="F44" s="23">
        <f aca="true" t="shared" si="8" ref="F44:L44">+F42/F13</f>
        <v>0.1516665355466394</v>
      </c>
      <c r="G44" s="24">
        <f t="shared" si="8"/>
        <v>0</v>
      </c>
      <c r="H44" s="25">
        <f t="shared" si="8"/>
        <v>0</v>
      </c>
      <c r="I44" s="25">
        <f t="shared" si="8"/>
        <v>0</v>
      </c>
      <c r="J44" s="26">
        <f t="shared" si="8"/>
        <v>0</v>
      </c>
      <c r="K44" s="23">
        <f t="shared" si="8"/>
        <v>0</v>
      </c>
      <c r="L44" s="23">
        <f t="shared" si="8"/>
        <v>0</v>
      </c>
    </row>
    <row r="45" spans="1:12" ht="11.25">
      <c r="A45" s="18" t="s">
        <v>38</v>
      </c>
      <c r="C45" s="23">
        <f>+C43/C42</f>
        <v>3.6619095477386936</v>
      </c>
      <c r="D45" s="23">
        <f>+D43/D42</f>
        <v>3.5437751004016063</v>
      </c>
      <c r="E45" s="23">
        <f>+E43/E42</f>
        <v>1.8038576654472898</v>
      </c>
      <c r="F45" s="23">
        <f>+F43/F42</f>
        <v>0.7660009797988531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23">
        <v>0</v>
      </c>
    </row>
    <row r="46" spans="1:12" ht="11.25">
      <c r="A46" s="2" t="s">
        <v>39</v>
      </c>
      <c r="B46" s="2"/>
      <c r="C46" s="27">
        <f>C43/C13</f>
        <v>0.07961960203310127</v>
      </c>
      <c r="D46" s="27">
        <f>D43/D13</f>
        <v>0.08525562678441168</v>
      </c>
      <c r="E46" s="27">
        <f>E43/E13</f>
        <v>0.12379891634295417</v>
      </c>
      <c r="F46" s="27">
        <f aca="true" t="shared" si="9" ref="F46:L46">+F43/F13</f>
        <v>0.11617671483142335</v>
      </c>
      <c r="G46" s="28">
        <f t="shared" si="9"/>
        <v>0.1108813471700192</v>
      </c>
      <c r="H46" s="27">
        <f t="shared" si="9"/>
        <v>0.022709103846930978</v>
      </c>
      <c r="I46" s="27">
        <f t="shared" si="9"/>
        <v>0.016050680477609023</v>
      </c>
      <c r="J46" s="29">
        <f t="shared" si="9"/>
        <v>0.013325754086096328</v>
      </c>
      <c r="K46" s="27">
        <f t="shared" si="9"/>
        <v>0.01338388436095433</v>
      </c>
      <c r="L46" s="27">
        <f t="shared" si="9"/>
        <v>0.004889248062300261</v>
      </c>
    </row>
    <row r="47" spans="1:12" ht="11.25">
      <c r="A47" s="4" t="s">
        <v>40</v>
      </c>
      <c r="C47" s="3"/>
      <c r="D47" s="3"/>
      <c r="E47" s="3"/>
      <c r="F47" s="30"/>
      <c r="G47" s="3"/>
      <c r="H47" s="3"/>
      <c r="I47" s="3"/>
      <c r="J47" s="30"/>
      <c r="K47" s="3"/>
      <c r="L47" s="3"/>
    </row>
    <row r="48" spans="1:12" ht="11.25">
      <c r="A48" s="1" t="s">
        <v>41</v>
      </c>
      <c r="C48" s="25">
        <f aca="true" t="shared" si="10" ref="C48:L48">C25/C13</f>
        <v>0.1905005397420601</v>
      </c>
      <c r="D48" s="25">
        <f t="shared" si="10"/>
        <v>0.2069072130086328</v>
      </c>
      <c r="E48" s="25">
        <f t="shared" si="10"/>
        <v>0.18484706011238264</v>
      </c>
      <c r="F48" s="26">
        <f t="shared" si="10"/>
        <v>0.17398316418849816</v>
      </c>
      <c r="G48" s="25">
        <f t="shared" si="10"/>
        <v>0.1663792263264277</v>
      </c>
      <c r="H48" s="25">
        <f t="shared" si="10"/>
        <v>0.147183104778136</v>
      </c>
      <c r="I48" s="25">
        <f t="shared" si="10"/>
        <v>0.13245303709187933</v>
      </c>
      <c r="J48" s="26">
        <f t="shared" si="10"/>
        <v>0.11903665154084137</v>
      </c>
      <c r="K48" s="25">
        <f t="shared" si="10"/>
        <v>0.1231503000574768</v>
      </c>
      <c r="L48" s="25">
        <f t="shared" si="10"/>
        <v>0.11814274694192411</v>
      </c>
    </row>
    <row r="49" spans="1:12" ht="11.25">
      <c r="A49" s="2" t="s">
        <v>42</v>
      </c>
      <c r="B49" s="2"/>
      <c r="C49" s="27">
        <f aca="true" t="shared" si="11" ref="C49:L49">C25/(C13+C16)</f>
        <v>0.18703069622154142</v>
      </c>
      <c r="D49" s="27">
        <f t="shared" si="11"/>
        <v>0.20628735737370138</v>
      </c>
      <c r="E49" s="27">
        <f t="shared" si="11"/>
        <v>0.17698940991874965</v>
      </c>
      <c r="F49" s="29">
        <f t="shared" si="11"/>
        <v>0.16908425966435456</v>
      </c>
      <c r="G49" s="27">
        <f t="shared" si="11"/>
        <v>0.16210726229305147</v>
      </c>
      <c r="H49" s="27">
        <f t="shared" si="11"/>
        <v>0.14639922055565993</v>
      </c>
      <c r="I49" s="27">
        <f t="shared" si="11"/>
        <v>0.1318910986462097</v>
      </c>
      <c r="J49" s="29">
        <f t="shared" si="11"/>
        <v>0.118560240003384</v>
      </c>
      <c r="K49" s="27">
        <f t="shared" si="11"/>
        <v>0.12261146496815287</v>
      </c>
      <c r="L49" s="27">
        <f t="shared" si="11"/>
        <v>0.11800187118196327</v>
      </c>
    </row>
    <row r="50" spans="1:10" ht="11.25">
      <c r="A50" s="4" t="s">
        <v>43</v>
      </c>
      <c r="G50" s="17"/>
      <c r="H50" s="18"/>
      <c r="I50" s="18"/>
      <c r="J50" s="19"/>
    </row>
    <row r="51" spans="1:12" ht="11.25">
      <c r="A51" s="1" t="s">
        <v>44</v>
      </c>
      <c r="C51" s="31">
        <f>C12/C17</f>
        <v>0.24700587382714165</v>
      </c>
      <c r="D51" s="31">
        <f>D12/D17</f>
        <v>0.3314032907666411</v>
      </c>
      <c r="E51" s="31">
        <f>E12/E17</f>
        <v>0.33323832519656504</v>
      </c>
      <c r="F51" s="23">
        <f>+F12/F17</f>
        <v>0.337793319575021</v>
      </c>
      <c r="G51" s="24">
        <f aca="true" t="shared" si="12" ref="G51:L51">G12/G17</f>
        <v>0.2564089315665217</v>
      </c>
      <c r="H51" s="25">
        <f t="shared" si="12"/>
        <v>0.2561766441789751</v>
      </c>
      <c r="I51" s="25">
        <f t="shared" si="12"/>
        <v>0.14994814099886197</v>
      </c>
      <c r="J51" s="26">
        <f t="shared" si="12"/>
        <v>0.13915922314185036</v>
      </c>
      <c r="K51" s="23">
        <f t="shared" si="12"/>
        <v>0.1564718617761595</v>
      </c>
      <c r="L51" s="23">
        <f t="shared" si="12"/>
        <v>0.1949884614059863</v>
      </c>
    </row>
    <row r="52" spans="1:12" ht="11.25">
      <c r="A52" s="1" t="s">
        <v>45</v>
      </c>
      <c r="C52" s="31">
        <f>C12/C11</f>
        <v>0.19404649738148427</v>
      </c>
      <c r="D52" s="31">
        <f>D12/D11</f>
        <v>0.25756605421325707</v>
      </c>
      <c r="E52" s="31">
        <f>E12/E11</f>
        <v>0.25233088734044523</v>
      </c>
      <c r="F52" s="23">
        <f>+F12/F11</f>
        <v>0.26159364742999713</v>
      </c>
      <c r="G52" s="24">
        <f aca="true" t="shared" si="13" ref="G52:L52">G12/G11</f>
        <v>0.20141052618433622</v>
      </c>
      <c r="H52" s="25">
        <f t="shared" si="13"/>
        <v>0.2192640574993046</v>
      </c>
      <c r="I52" s="25">
        <f t="shared" si="13"/>
        <v>0.1222927130143625</v>
      </c>
      <c r="J52" s="26">
        <f t="shared" si="13"/>
        <v>0.11819502987310196</v>
      </c>
      <c r="K52" s="23">
        <f t="shared" si="13"/>
        <v>0.1329304414293904</v>
      </c>
      <c r="L52" s="23">
        <f t="shared" si="13"/>
        <v>0.16586144763634766</v>
      </c>
    </row>
    <row r="53" spans="1:12" ht="11.25">
      <c r="A53" s="2" t="s">
        <v>46</v>
      </c>
      <c r="B53" s="2"/>
      <c r="C53" s="32">
        <f>(C12+C16)/C17</f>
        <v>0.26499605868741577</v>
      </c>
      <c r="D53" s="32">
        <f>(D12+D16)/D17</f>
        <v>0.3341441274709392</v>
      </c>
      <c r="E53" s="32">
        <f>(E12+E16)/E17</f>
        <v>0.3728404311197795</v>
      </c>
      <c r="F53" s="27">
        <f>+(F12+F16)/F17</f>
        <v>0.36312772299931206</v>
      </c>
      <c r="G53" s="28">
        <f aca="true" t="shared" si="14" ref="G53:L53">(G12+G16)/G17</f>
        <v>0.2811265411244744</v>
      </c>
      <c r="H53" s="27">
        <f t="shared" si="14"/>
        <v>0.26073021494049353</v>
      </c>
      <c r="I53" s="27">
        <f t="shared" si="14"/>
        <v>0.15434175081749954</v>
      </c>
      <c r="J53" s="29">
        <f t="shared" si="14"/>
        <v>0.1431910186019831</v>
      </c>
      <c r="K53" s="27">
        <f t="shared" si="14"/>
        <v>0.16079838607639427</v>
      </c>
      <c r="L53" s="27">
        <f t="shared" si="14"/>
        <v>0.1961078772431371</v>
      </c>
    </row>
    <row r="54" spans="1:10" ht="11.25">
      <c r="A54" s="4" t="s">
        <v>47</v>
      </c>
      <c r="G54" s="17"/>
      <c r="H54" s="18"/>
      <c r="I54" s="18"/>
      <c r="J54" s="19"/>
    </row>
    <row r="55" spans="1:12" ht="11.25">
      <c r="A55" s="1" t="s">
        <v>48</v>
      </c>
      <c r="B55" s="18"/>
      <c r="C55" s="33">
        <f>C40/C28</f>
        <v>0.01820446569093648</v>
      </c>
      <c r="D55" s="33">
        <f>(D40/0.75)/D28</f>
        <v>0.0217852146448448</v>
      </c>
      <c r="E55" s="23">
        <f>(E40/0.5)/E28</f>
        <v>0.009535945712504018</v>
      </c>
      <c r="F55" s="23">
        <f>((F40)/0.25)/F28</f>
        <v>0.008003596459550885</v>
      </c>
      <c r="G55" s="34">
        <f>G40/G28</f>
        <v>-0.09640266333558715</v>
      </c>
      <c r="H55" s="33">
        <f>(H40/0.75)/H28</f>
        <v>-0.14599251583310685</v>
      </c>
      <c r="I55" s="33">
        <f>(I40/0.5)/I28</f>
        <v>0.023589754167397187</v>
      </c>
      <c r="J55" s="26">
        <f>((J40)/0.25)/J28</f>
        <v>0.026731947155857166</v>
      </c>
      <c r="K55" s="23">
        <f>K40/K28</f>
        <v>0.010734809053636132</v>
      </c>
      <c r="L55" s="23">
        <f>L40/L28</f>
        <v>0.022315218444250703</v>
      </c>
    </row>
    <row r="56" spans="1:12" ht="11.25">
      <c r="A56" s="1" t="s">
        <v>49</v>
      </c>
      <c r="B56" s="18"/>
      <c r="C56" s="33">
        <f>C40/C27</f>
        <v>0.013939842137571355</v>
      </c>
      <c r="D56" s="33">
        <f>(D40/0.75)/D27</f>
        <v>0.015724040011199963</v>
      </c>
      <c r="E56" s="23">
        <f>(E40/0.5)/E27</f>
        <v>0.007406627457469051</v>
      </c>
      <c r="F56" s="23">
        <f>((F40)/0.25)/F27</f>
        <v>0.006231843515310624</v>
      </c>
      <c r="G56" s="34">
        <f>G40/G27</f>
        <v>-0.07703085080080217</v>
      </c>
      <c r="H56" s="33">
        <f>(H40/0.75)/H27</f>
        <v>-0.11603482205545676</v>
      </c>
      <c r="I56" s="33">
        <f>(I40/0.5)/I27</f>
        <v>0.021791079376118412</v>
      </c>
      <c r="J56" s="26">
        <f>((J40)/0.25)/J27</f>
        <v>0.02496876492409515</v>
      </c>
      <c r="K56" s="23">
        <f>K40/K27</f>
        <v>0.008792905340957991</v>
      </c>
      <c r="L56" s="23">
        <f>L40/L27</f>
        <v>0.018841966644582403</v>
      </c>
    </row>
    <row r="57" spans="1:12" ht="11.25">
      <c r="A57" s="1" t="s">
        <v>50</v>
      </c>
      <c r="B57" s="18"/>
      <c r="C57" s="33">
        <f>+C40/C31</f>
        <v>0.10442591095071994</v>
      </c>
      <c r="D57" s="33">
        <f>(D40/0.75)/D31</f>
        <v>0.1245688036539251</v>
      </c>
      <c r="E57" s="23">
        <f>(E40/0.5)/E31</f>
        <v>0.06278850322613552</v>
      </c>
      <c r="F57" s="23">
        <f>((F40)/0.25)/F31</f>
        <v>0.0569749750800063</v>
      </c>
      <c r="G57" s="34">
        <f>+G40/G31</f>
        <v>-0.6842733188720174</v>
      </c>
      <c r="H57" s="33">
        <f>(H40/0.75)/H31</f>
        <v>-1.0391095517270676</v>
      </c>
      <c r="I57" s="33">
        <f>(I40/0.5)/I31</f>
        <v>0.1924176995120857</v>
      </c>
      <c r="J57" s="26">
        <f>((J40)/0.25)/J31</f>
        <v>0.2230329493550889</v>
      </c>
      <c r="K57" s="23">
        <f>K40/K31</f>
        <v>0.08920159620750698</v>
      </c>
      <c r="L57" s="23">
        <f>L40/L31</f>
        <v>0.1956780265706228</v>
      </c>
    </row>
    <row r="58" spans="1:12" ht="11.25">
      <c r="A58" s="1" t="s">
        <v>51</v>
      </c>
      <c r="B58" s="18"/>
      <c r="C58" s="33">
        <f>C33/C28</f>
        <v>0.09981736620180613</v>
      </c>
      <c r="D58" s="33">
        <f>(D33/0.75)/D28</f>
        <v>0.11366677052214871</v>
      </c>
      <c r="E58" s="23">
        <f>(E33/0.5)/E28</f>
        <v>0.09965876652426012</v>
      </c>
      <c r="F58" s="23">
        <f>((F33)/0.25)/F28</f>
        <v>0.09869628341280429</v>
      </c>
      <c r="G58" s="34">
        <f>G33/G28</f>
        <v>0.11230551194337166</v>
      </c>
      <c r="H58" s="33">
        <f>(H33/0.75)/H28</f>
        <v>0.12474641398299104</v>
      </c>
      <c r="I58" s="33">
        <f>(I33/0.5)/I28</f>
        <v>0.1053529009347208</v>
      </c>
      <c r="J58" s="26">
        <f>((J33)/0.25)/J28</f>
        <v>0.10549547409266662</v>
      </c>
      <c r="K58" s="23">
        <f>K33/K28</f>
        <v>0.08815686614346659</v>
      </c>
      <c r="L58" s="23">
        <f>L33/L27</f>
        <v>0.07840404387407061</v>
      </c>
    </row>
    <row r="59" spans="1:12" ht="11.25">
      <c r="A59" s="1" t="s">
        <v>52</v>
      </c>
      <c r="B59" s="18"/>
      <c r="C59" s="33">
        <f>C34/C28</f>
        <v>0.06091300066488802</v>
      </c>
      <c r="D59" s="33">
        <f>(D34/0.75)/D28</f>
        <v>0.07111045946887085</v>
      </c>
      <c r="E59" s="23">
        <f>(E34/0.5)/E28</f>
        <v>0.06344386302632649</v>
      </c>
      <c r="F59" s="23">
        <f>((F34)/0.25)/F28</f>
        <v>0.06420564673628666</v>
      </c>
      <c r="G59" s="34">
        <f>G34/G28</f>
        <v>0.07230581754699611</v>
      </c>
      <c r="H59" s="33">
        <f>(H34/0.75)/H28</f>
        <v>0.07854653518464293</v>
      </c>
      <c r="I59" s="33">
        <f>(I34/0.5)/I28</f>
        <v>0.06489073151614533</v>
      </c>
      <c r="J59" s="26">
        <f>((J34)/0.25)/J28</f>
        <v>0.06617568577222756</v>
      </c>
      <c r="K59" s="23">
        <f>K34/K28</f>
        <v>0.06070781857342223</v>
      </c>
      <c r="L59" s="23">
        <f>L34/L27</f>
        <v>0.04723742219386712</v>
      </c>
    </row>
    <row r="60" spans="1:12" ht="11.25">
      <c r="A60" s="1" t="s">
        <v>53</v>
      </c>
      <c r="B60" s="18"/>
      <c r="C60" s="33">
        <f>C35/C28</f>
        <v>0.03890436553691812</v>
      </c>
      <c r="D60" s="33">
        <f>(D35/0.75)/D28</f>
        <v>0.04255631105327786</v>
      </c>
      <c r="E60" s="23">
        <f>(E35/0.5)/E28</f>
        <v>0.03621490349793362</v>
      </c>
      <c r="F60" s="23">
        <f>((F35)/0.25)/F28</f>
        <v>0.034490636676517625</v>
      </c>
      <c r="G60" s="34">
        <f>G35/G28</f>
        <v>0.03999969439637554</v>
      </c>
      <c r="H60" s="33">
        <f>(H35/0.75)/H28</f>
        <v>0.046199878798348123</v>
      </c>
      <c r="I60" s="33">
        <f>(I35/0.5)/I28</f>
        <v>0.04046216941857547</v>
      </c>
      <c r="J60" s="26">
        <f>((J35)/0.25)/J28</f>
        <v>0.03931978832043906</v>
      </c>
      <c r="K60" s="23">
        <f>K35/K28</f>
        <v>0.02744904757004436</v>
      </c>
      <c r="L60" s="23">
        <f>L35/L27</f>
        <v>0.031166621680203503</v>
      </c>
    </row>
    <row r="61" spans="1:12" ht="11.25">
      <c r="A61" s="1" t="s">
        <v>54</v>
      </c>
      <c r="B61" s="18"/>
      <c r="C61" s="33">
        <f>C38/C37</f>
        <v>0.4775325500158781</v>
      </c>
      <c r="D61" s="33">
        <f>(D38/0.75)/(D37/0.75)</f>
        <v>0.4667411394333299</v>
      </c>
      <c r="E61" s="23">
        <f>(E38/0.5)/(E37/0.5)</f>
        <v>0.5770822090304012</v>
      </c>
      <c r="F61" s="23">
        <f>(F38/0.25)/(F37/0.25)</f>
        <v>0.6033874382498235</v>
      </c>
      <c r="G61" s="34">
        <f>G38/G37</f>
        <v>1.1960572924688126</v>
      </c>
      <c r="H61" s="33">
        <f>(H38/0.75)/(H37/0.75)</f>
        <v>1.3464726291441789</v>
      </c>
      <c r="I61" s="33">
        <f>(I38/0.5)/(I37/0.5)</f>
        <v>0.39798888594866366</v>
      </c>
      <c r="J61" s="26">
        <f>(J38/0.25)/(J37/0.25)</f>
        <v>0.3593553261143289</v>
      </c>
      <c r="K61" s="23">
        <f>K38/K37</f>
        <v>0.5852543163789081</v>
      </c>
      <c r="L61" s="23">
        <f>L38/L37</f>
        <v>0.39456566488266775</v>
      </c>
    </row>
    <row r="62" spans="1:12" ht="11.25">
      <c r="A62" s="2" t="s">
        <v>55</v>
      </c>
      <c r="B62" s="2"/>
      <c r="C62" s="35">
        <f>C36/C28</f>
        <v>0.014101517459622782</v>
      </c>
      <c r="D62" s="35">
        <f>(D36/0.75)/D28</f>
        <v>0.017600449633145783</v>
      </c>
      <c r="E62" s="27">
        <f>(E36/0.5)/E28</f>
        <v>0.006847909025063812</v>
      </c>
      <c r="F62" s="27">
        <f>(F36/0.25)/F28</f>
        <v>0.007281356631709276</v>
      </c>
      <c r="G62" s="36">
        <f>G36/G28</f>
        <v>0.009607413943929374</v>
      </c>
      <c r="H62" s="35">
        <f>(H36/0.75)/H28</f>
        <v>0.012089267895676697</v>
      </c>
      <c r="I62" s="35">
        <f>(I36/0.5)/I28</f>
        <v>0.011502669403105651</v>
      </c>
      <c r="J62" s="29">
        <f>(J36/0.25)/J28</f>
        <v>0.01536983669548511</v>
      </c>
      <c r="K62" s="27">
        <f>K36/K28</f>
        <v>0.011240316375368072</v>
      </c>
      <c r="L62" s="27">
        <f>L36/L27</f>
        <v>0.008568694329251834</v>
      </c>
    </row>
    <row r="63" spans="1:10" ht="11.25">
      <c r="A63" s="4" t="s">
        <v>56</v>
      </c>
      <c r="G63" s="17"/>
      <c r="H63" s="18"/>
      <c r="I63" s="18"/>
      <c r="J63" s="19"/>
    </row>
    <row r="64" spans="1:12" ht="11.25">
      <c r="A64" s="1" t="s">
        <v>57</v>
      </c>
      <c r="C64" s="1">
        <f>49+6</f>
        <v>55</v>
      </c>
      <c r="D64" s="9">
        <f>52+5</f>
        <v>57</v>
      </c>
      <c r="E64" s="37">
        <v>59</v>
      </c>
      <c r="F64" s="1">
        <v>55</v>
      </c>
      <c r="G64" s="10">
        <f>6+49</f>
        <v>55</v>
      </c>
      <c r="H64" s="11">
        <f>6+52</f>
        <v>58</v>
      </c>
      <c r="I64" s="11">
        <f>6+49</f>
        <v>55</v>
      </c>
      <c r="J64" s="12">
        <f>51+5</f>
        <v>56</v>
      </c>
      <c r="K64" s="9">
        <v>56</v>
      </c>
      <c r="L64" s="9">
        <v>54</v>
      </c>
    </row>
    <row r="65" spans="1:12" ht="11.25">
      <c r="A65" s="1" t="s">
        <v>58</v>
      </c>
      <c r="C65" s="1">
        <v>1</v>
      </c>
      <c r="D65" s="9">
        <v>1</v>
      </c>
      <c r="E65" s="9">
        <v>1</v>
      </c>
      <c r="F65" s="1">
        <v>1</v>
      </c>
      <c r="G65" s="10">
        <v>1</v>
      </c>
      <c r="H65" s="11">
        <v>1</v>
      </c>
      <c r="I65" s="11">
        <v>1</v>
      </c>
      <c r="J65" s="12">
        <v>1</v>
      </c>
      <c r="K65" s="9">
        <v>1</v>
      </c>
      <c r="L65" s="9">
        <v>1</v>
      </c>
    </row>
    <row r="66" spans="1:12" ht="11.25">
      <c r="A66" s="1" t="s">
        <v>59</v>
      </c>
      <c r="C66" s="9">
        <f aca="true" t="shared" si="15" ref="C66:L66">C13/C64</f>
        <v>4160.236363636363</v>
      </c>
      <c r="D66" s="9">
        <f t="shared" si="15"/>
        <v>3631.59649122807</v>
      </c>
      <c r="E66" s="9">
        <f t="shared" si="15"/>
        <v>3713.101694915254</v>
      </c>
      <c r="F66" s="9">
        <f t="shared" si="15"/>
        <v>4159.963636363636</v>
      </c>
      <c r="G66" s="10">
        <f t="shared" si="15"/>
        <v>4290.745454545455</v>
      </c>
      <c r="H66" s="11">
        <f t="shared" si="15"/>
        <v>3925.206896551724</v>
      </c>
      <c r="I66" s="11">
        <f t="shared" si="15"/>
        <v>5206.236363636363</v>
      </c>
      <c r="J66" s="12">
        <f t="shared" si="15"/>
        <v>5466.053571428572</v>
      </c>
      <c r="K66" s="9">
        <f t="shared" si="15"/>
        <v>5002.017857142857</v>
      </c>
      <c r="L66" s="9">
        <f t="shared" si="15"/>
        <v>5041.2962962962965</v>
      </c>
    </row>
    <row r="67" spans="1:12" ht="11.25">
      <c r="A67" s="1" t="s">
        <v>60</v>
      </c>
      <c r="C67" s="9">
        <f aca="true" t="shared" si="16" ref="C67:L67">+C17/C64</f>
        <v>4290.218181818182</v>
      </c>
      <c r="D67" s="9">
        <f t="shared" si="16"/>
        <v>3981.3684210526317</v>
      </c>
      <c r="E67" s="9">
        <f t="shared" si="16"/>
        <v>4162.593220338983</v>
      </c>
      <c r="F67" s="9">
        <f t="shared" si="16"/>
        <v>4757.454545454545</v>
      </c>
      <c r="G67" s="10">
        <f t="shared" si="16"/>
        <v>4574.581818181819</v>
      </c>
      <c r="H67" s="11">
        <f t="shared" si="16"/>
        <v>4615.551724137931</v>
      </c>
      <c r="I67" s="11">
        <f t="shared" si="16"/>
        <v>5048.654545454546</v>
      </c>
      <c r="J67" s="12">
        <f t="shared" si="16"/>
        <v>5447.767857142857</v>
      </c>
      <c r="K67" s="9">
        <f t="shared" si="16"/>
        <v>5080.785714285715</v>
      </c>
      <c r="L67" s="9">
        <f t="shared" si="16"/>
        <v>5376.481481481482</v>
      </c>
    </row>
    <row r="68" spans="1:12" ht="11.25">
      <c r="A68" s="2" t="s">
        <v>61</v>
      </c>
      <c r="B68" s="2"/>
      <c r="C68" s="14">
        <f aca="true" t="shared" si="17" ref="C68:L68">+C40/C64</f>
        <v>78.65454545454546</v>
      </c>
      <c r="D68" s="14">
        <f t="shared" si="17"/>
        <v>62.56140350877193</v>
      </c>
      <c r="E68" s="14">
        <f t="shared" si="17"/>
        <v>20.864406779661017</v>
      </c>
      <c r="F68" s="14">
        <f t="shared" si="17"/>
        <v>9.872727272727273</v>
      </c>
      <c r="G68" s="15">
        <f t="shared" si="17"/>
        <v>-458.8363636363636</v>
      </c>
      <c r="H68" s="14">
        <f t="shared" si="17"/>
        <v>-448.0689655172414</v>
      </c>
      <c r="I68" s="14">
        <f t="shared" si="17"/>
        <v>62.38181818181818</v>
      </c>
      <c r="J68" s="16">
        <f t="shared" si="17"/>
        <v>34.660714285714285</v>
      </c>
      <c r="K68" s="14">
        <f t="shared" si="17"/>
        <v>53.089285714285715</v>
      </c>
      <c r="L68" s="14">
        <f t="shared" si="17"/>
        <v>106.64814814814815</v>
      </c>
    </row>
    <row r="69" spans="1:10" ht="11.25">
      <c r="A69" s="4" t="s">
        <v>62</v>
      </c>
      <c r="G69" s="17"/>
      <c r="H69" s="18"/>
      <c r="I69" s="18"/>
      <c r="J69" s="19"/>
    </row>
    <row r="70" spans="1:12" ht="11.25">
      <c r="A70" s="1" t="s">
        <v>63</v>
      </c>
      <c r="C70" s="23">
        <f>(C11/G11)-1</f>
        <v>-0.06226858066973462</v>
      </c>
      <c r="D70" s="23">
        <f>(D11/H11)-1</f>
        <v>-0.0664196259859513</v>
      </c>
      <c r="E70" s="23">
        <f>(E11/I11)-1</f>
        <v>-0.04737568655094426</v>
      </c>
      <c r="F70" s="23">
        <f>+(F11/J11)-1</f>
        <v>-0.059320240766622345</v>
      </c>
      <c r="G70" s="24">
        <f>+(G11/K11)-1</f>
        <v>-0.04361145614370343</v>
      </c>
      <c r="H70" s="25">
        <f>+(H11/284477)-1</f>
        <v>0.09945267983000372</v>
      </c>
      <c r="I70" s="25">
        <f>+(I11/289329)-1</f>
        <v>0.17675725558101685</v>
      </c>
      <c r="J70" s="26">
        <f>+(J11/262711)-1</f>
        <v>0.3672286276554846</v>
      </c>
      <c r="K70" s="23">
        <f>+(K11/L11)-1</f>
        <v>-0.01875979666876637</v>
      </c>
      <c r="L70" s="23">
        <f>(L11/269980)-1</f>
        <v>0.26422327579820726</v>
      </c>
    </row>
    <row r="71" spans="1:12" ht="11.25">
      <c r="A71" s="1" t="s">
        <v>64</v>
      </c>
      <c r="C71" s="23">
        <f>(C13/G13)-1</f>
        <v>-0.030416414185286733</v>
      </c>
      <c r="D71" s="23">
        <f>(D13/H13)-1</f>
        <v>-0.09075295833296726</v>
      </c>
      <c r="E71" s="23">
        <f>(E13/I13)-1</f>
        <v>-0.23492804084611807</v>
      </c>
      <c r="F71" s="23">
        <f aca="true" t="shared" si="18" ref="F71:L71">SUM(F72:F73)</f>
        <v>-0.2525359442533298</v>
      </c>
      <c r="G71" s="24">
        <f t="shared" si="18"/>
        <v>-0.15751500287384024</v>
      </c>
      <c r="H71" s="25">
        <f t="shared" si="18"/>
        <v>-0.06887850046829691</v>
      </c>
      <c r="I71" s="25">
        <f t="shared" si="18"/>
        <v>-0.022379804573605777</v>
      </c>
      <c r="J71" s="26">
        <f t="shared" si="18"/>
        <v>0.12030611796741186</v>
      </c>
      <c r="K71" s="23">
        <f t="shared" si="18"/>
        <v>0.02895713183704962</v>
      </c>
      <c r="L71" s="23">
        <f t="shared" si="18"/>
        <v>0.12044483590296595</v>
      </c>
    </row>
    <row r="72" spans="2:12" ht="11.25">
      <c r="B72" s="1" t="s">
        <v>15</v>
      </c>
      <c r="C72" s="23">
        <v>0</v>
      </c>
      <c r="D72" s="23">
        <v>0</v>
      </c>
      <c r="E72" s="23">
        <v>0</v>
      </c>
      <c r="F72" s="23">
        <v>0</v>
      </c>
      <c r="G72" s="24">
        <v>0</v>
      </c>
      <c r="H72" s="25">
        <v>0</v>
      </c>
      <c r="I72" s="25">
        <v>0</v>
      </c>
      <c r="J72" s="26">
        <v>0</v>
      </c>
      <c r="K72" s="23">
        <v>0</v>
      </c>
      <c r="L72" s="23">
        <v>0</v>
      </c>
    </row>
    <row r="73" spans="2:12" ht="11.25">
      <c r="B73" s="1" t="s">
        <v>16</v>
      </c>
      <c r="C73" s="23">
        <f>(C15/G15)-1</f>
        <v>-0.030416414185286733</v>
      </c>
      <c r="D73" s="23">
        <f>(D15/H15)-1</f>
        <v>-0.09075295833296726</v>
      </c>
      <c r="E73" s="23">
        <f>(E15/I15)-1</f>
        <v>-0.23492804084611807</v>
      </c>
      <c r="F73" s="23">
        <f>+(F15/J15)-1</f>
        <v>-0.2525359442533298</v>
      </c>
      <c r="G73" s="24">
        <f>+(G15/K15)-1</f>
        <v>-0.15751500287384024</v>
      </c>
      <c r="H73" s="25">
        <f>+(H15/244503)-1</f>
        <v>-0.06887850046829691</v>
      </c>
      <c r="I73" s="25">
        <f>+(I15/292898)-1</f>
        <v>-0.022379804573605777</v>
      </c>
      <c r="J73" s="26">
        <f>+(J15/273228)-1</f>
        <v>0.12030611796741186</v>
      </c>
      <c r="K73" s="23">
        <f>+(K15/L15)-1</f>
        <v>0.02895713183704962</v>
      </c>
      <c r="L73" s="23">
        <f>+(L15/242966)-1</f>
        <v>0.12044483590296595</v>
      </c>
    </row>
    <row r="74" spans="1:35" ht="11.25">
      <c r="A74" s="1" t="s">
        <v>65</v>
      </c>
      <c r="C74" s="23">
        <f>(C17/G17)-1</f>
        <v>-0.06216166803125567</v>
      </c>
      <c r="D74" s="23">
        <f>(D17/H17)-1</f>
        <v>-0.15227379698321264</v>
      </c>
      <c r="E74" s="23">
        <f>(E17/I17)-1</f>
        <v>-0.11554113427159707</v>
      </c>
      <c r="F74" s="23">
        <f aca="true" t="shared" si="19" ref="F74:L74">SUM(F75:F76)</f>
        <v>-0.1423092682127346</v>
      </c>
      <c r="G74" s="24">
        <f t="shared" si="19"/>
        <v>-0.11570904387679071</v>
      </c>
      <c r="H74" s="25">
        <f t="shared" si="19"/>
        <v>-0.05896786031911194</v>
      </c>
      <c r="I74" s="25">
        <f t="shared" si="19"/>
        <v>-0.040275948833335073</v>
      </c>
      <c r="J74" s="26">
        <f t="shared" si="19"/>
        <v>0.16125704671673446</v>
      </c>
      <c r="K74" s="23">
        <f t="shared" si="19"/>
        <v>-0.01999793338614675</v>
      </c>
      <c r="L74" s="23">
        <f t="shared" si="19"/>
        <v>0.269551832854513</v>
      </c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</row>
    <row r="75" spans="2:12" ht="11.25">
      <c r="B75" s="1" t="s">
        <v>15</v>
      </c>
      <c r="C75" s="23">
        <v>0</v>
      </c>
      <c r="D75" s="23">
        <v>0</v>
      </c>
      <c r="E75" s="23">
        <v>0</v>
      </c>
      <c r="F75" s="23">
        <v>0</v>
      </c>
      <c r="G75" s="24">
        <v>0</v>
      </c>
      <c r="H75" s="25">
        <v>0</v>
      </c>
      <c r="I75" s="25">
        <v>0</v>
      </c>
      <c r="J75" s="26">
        <v>0</v>
      </c>
      <c r="K75" s="23">
        <v>0</v>
      </c>
      <c r="L75" s="23">
        <v>0</v>
      </c>
    </row>
    <row r="76" spans="2:12" ht="11.25">
      <c r="B76" s="1" t="s">
        <v>16</v>
      </c>
      <c r="C76" s="23">
        <f>(C22/G22)-1</f>
        <v>-0.06216166803125567</v>
      </c>
      <c r="D76" s="23">
        <f>(D22/H22)-1</f>
        <v>-0.15227379698321264</v>
      </c>
      <c r="E76" s="23">
        <f>(E22/I22)-1</f>
        <v>-0.11554113427159707</v>
      </c>
      <c r="F76" s="23">
        <f>+(F22/J22)-1</f>
        <v>-0.1423092682127346</v>
      </c>
      <c r="G76" s="24">
        <f>+(G22/K22)-1</f>
        <v>-0.11570904387679071</v>
      </c>
      <c r="H76" s="25">
        <f>+(H22/284477)-1</f>
        <v>-0.05896786031911194</v>
      </c>
      <c r="I76" s="25">
        <f>+(I22/289329)-1</f>
        <v>-0.040275948833335073</v>
      </c>
      <c r="J76" s="26">
        <f>+(J22/262711)-1</f>
        <v>0.16125704671673446</v>
      </c>
      <c r="K76" s="23">
        <f>+(K22/L22)-1</f>
        <v>-0.01999793338614675</v>
      </c>
      <c r="L76" s="23">
        <f>+(L22/228687)-1</f>
        <v>0.269551832854513</v>
      </c>
    </row>
    <row r="77" spans="1:12" ht="11.25">
      <c r="A77" s="1" t="s">
        <v>66</v>
      </c>
      <c r="C77" s="23">
        <f>(C25/G25)-1</f>
        <v>0.11015179299103495</v>
      </c>
      <c r="D77" s="23">
        <f>(D25/H25)-1</f>
        <v>0.27820222036528586</v>
      </c>
      <c r="E77" s="23">
        <f>(E25/I25)-1</f>
        <v>0.06770901995939571</v>
      </c>
      <c r="F77" s="23">
        <f>+(F25/J25)-1</f>
        <v>0.0924884046436314</v>
      </c>
      <c r="G77" s="24">
        <f>+(G25/K25)-1</f>
        <v>0.13821892393320967</v>
      </c>
      <c r="H77" s="25">
        <f>+(H25/33185)-1</f>
        <v>0.009733313243935449</v>
      </c>
      <c r="I77" s="25">
        <f>+(I25/33397)-1</f>
        <v>0.13564092583166154</v>
      </c>
      <c r="J77" s="26">
        <f>+(J25/33185)-1</f>
        <v>0.09799608256742509</v>
      </c>
      <c r="K77" s="23">
        <f>+(K25/L25)-1</f>
        <v>0.072570113798893</v>
      </c>
      <c r="L77" s="25">
        <f>(L25/26700)-1</f>
        <v>0.20456928838951316</v>
      </c>
    </row>
    <row r="78" spans="1:12" ht="11.25">
      <c r="A78" s="2" t="s">
        <v>67</v>
      </c>
      <c r="B78" s="2"/>
      <c r="C78" s="27">
        <f>(C40/G40)-1</f>
        <v>-1.1714217784117926</v>
      </c>
      <c r="D78" s="27">
        <f>(D40/H40)-1</f>
        <v>-1.1372171771586885</v>
      </c>
      <c r="E78" s="27">
        <f>(E40/I40)-1</f>
        <v>-0.6412124744972312</v>
      </c>
      <c r="F78" s="27">
        <f>+(F40/J40)-1</f>
        <v>-0.7202472952086554</v>
      </c>
      <c r="G78" s="28">
        <f>+(G40/K40)-1</f>
        <v>-9.488395560040363</v>
      </c>
      <c r="H78" s="27">
        <f>+(H40/1662)-1</f>
        <v>-16.636582430806257</v>
      </c>
      <c r="I78" s="27">
        <f>+(I40/1090)-1</f>
        <v>2.1477064220183486</v>
      </c>
      <c r="J78" s="38">
        <f>+(J40/513)-1</f>
        <v>2.783625730994152</v>
      </c>
      <c r="K78" s="32">
        <f>+(K40/L40)-1</f>
        <v>-0.4837645424552873</v>
      </c>
      <c r="L78" s="27">
        <f>+(L40/5759)-1</f>
        <v>0</v>
      </c>
    </row>
  </sheetData>
  <sheetProtection password="CD66" sheet="1" objects="1" scenarios="1"/>
  <mergeCells count="3">
    <mergeCell ref="G8:J8"/>
    <mergeCell ref="K8:L8"/>
    <mergeCell ref="C8:F8"/>
  </mergeCells>
  <printOptions horizontalCentered="1" verticalCentered="1"/>
  <pageMargins left="0.75" right="0.75" top="1" bottom="1" header="0" footer="0"/>
  <pageSetup horizontalDpi="300" verticalDpi="300" orientation="landscape" r:id="rId3"/>
  <legacyDrawing r:id="rId2"/>
  <oleObjects>
    <oleObject progId="MSPhotoEd.3" shapeId="74687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2002-03-19T16:27:11Z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