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ustrobank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<sst xmlns="http://schemas.openxmlformats.org/spreadsheetml/2006/main" count="84" uniqueCount="67">
  <si>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 xml:space="preserve"> CUADRO No. 19-26</t>
  </si>
  <si>
    <t>AUSTROBANK OVERSEAS, S.A.</t>
  </si>
  <si>
    <t>ESTADISTICA FINANCIERA. AÑOS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</si>
  <si>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</si>
  <si>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</si>
  <si>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</si>
  <si>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</si>
  <si>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</si>
  <si>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</si>
  <si>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</si>
  <si>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</si>
  <si>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</si>
  <si>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</si>
  <si>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</si>
  <si>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</si>
  <si>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</si>
  <si>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</si>
  <si>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</si>
  <si>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</si>
  <si>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</si>
  <si>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</si>
  <si>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</si>
  <si>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</si>
  <si>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</si>
  <si>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</si>
  <si>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</si>
  <si>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</si>
  <si>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</si>
  <si>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</si>
  <si>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</si>
  <si>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</si>
  <si>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</si>
  <si>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</si>
  <si>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</si>
  <si>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</si>
  <si>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</si>
  <si>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</si>
  <si>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</si>
  <si>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</si>
  <si>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</si>
  <si>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</si>
  <si>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Total de  Préstamos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</si>
  <si>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</si>
  <si>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</si>
  <si>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</si>
  <si>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</si>
  <si>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</si>
  <si>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</si>
  <si>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</si>
  <si>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</si>
  <si>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</si>
  <si>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</si>
  <si>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</si>
  <si>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</si>
  <si>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</si>
  <si>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</si>
  <si>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</si>
  <si>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</si>
  <si>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</si>
  <si>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</si>
  <si>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</si>
  <si>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</si>
  <si>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</si>
  <si>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</si>
  <si>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</si>
  <si>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</si>
  <si>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Utilidad Neta</t>
  </si>
</sst>
</file>

<file path=xl/styles.xml><?xml version="1.0" encoding="utf-8"?>
<styleSheet xmlns="http://schemas.openxmlformats.org/spreadsheetml/2006/main">
  <numFmts count="3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  <numFmt numFmtId="192" formatCode="_(* #,##0.00000_);_(* \(#,##0.000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79" fontId="1" fillId="0" borderId="6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7" xfId="15" applyNumberFormat="1" applyFont="1" applyBorder="1" applyAlignment="1">
      <alignment/>
    </xf>
    <xf numFmtId="179" fontId="1" fillId="0" borderId="0" xfId="15" applyNumberFormat="1" applyFont="1" applyAlignment="1">
      <alignment/>
    </xf>
    <xf numFmtId="179" fontId="2" fillId="0" borderId="0" xfId="15" applyNumberFormat="1" applyFont="1" applyAlignment="1">
      <alignment/>
    </xf>
    <xf numFmtId="179" fontId="2" fillId="0" borderId="6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7" xfId="15" applyNumberFormat="1" applyFont="1" applyBorder="1" applyAlignment="1">
      <alignment/>
    </xf>
    <xf numFmtId="43" fontId="2" fillId="0" borderId="0" xfId="15" applyFont="1" applyAlignment="1">
      <alignment/>
    </xf>
    <xf numFmtId="179" fontId="2" fillId="0" borderId="0" xfId="15" applyNumberFormat="1" applyFont="1" applyFill="1" applyAlignment="1">
      <alignment/>
    </xf>
    <xf numFmtId="179" fontId="2" fillId="0" borderId="1" xfId="15" applyNumberFormat="1" applyFont="1" applyBorder="1" applyAlignment="1">
      <alignment/>
    </xf>
    <xf numFmtId="179" fontId="2" fillId="0" borderId="8" xfId="15" applyNumberFormat="1" applyFont="1" applyBorder="1" applyAlignment="1">
      <alignment/>
    </xf>
    <xf numFmtId="179" fontId="2" fillId="0" borderId="9" xfId="15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0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8" xfId="19" applyNumberFormat="1" applyFont="1" applyBorder="1" applyAlignment="1">
      <alignment/>
    </xf>
    <xf numFmtId="10" fontId="2" fillId="0" borderId="9" xfId="19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7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9" xfId="19" applyNumberFormat="1" applyFont="1" applyFill="1" applyBorder="1" applyAlignment="1">
      <alignment/>
    </xf>
    <xf numFmtId="10" fontId="2" fillId="0" borderId="8" xfId="19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82" fontId="2" fillId="0" borderId="0" xfId="19" applyNumberFormat="1" applyFont="1" applyAlignment="1">
      <alignment/>
    </xf>
    <xf numFmtId="182" fontId="2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"/>
    </sheetView>
  </sheetViews>
  <sheetFormatPr defaultColWidth="11.421875" defaultRowHeight="12.75"/>
  <cols>
    <col min="1" max="1" width="3.8515625" style="1" customWidth="1"/>
    <col min="2" max="2" width="38.28125" style="1" customWidth="1"/>
    <col min="3" max="3" width="7.7109375" style="1" bestFit="1" customWidth="1"/>
    <col min="4" max="4" width="8.7109375" style="1" bestFit="1" customWidth="1"/>
    <col min="5" max="7" width="7.7109375" style="1" bestFit="1" customWidth="1"/>
    <col min="8" max="8" width="8.7109375" style="1" bestFit="1" customWidth="1"/>
    <col min="9" max="10" width="7.7109375" style="1" bestFit="1" customWidth="1"/>
    <col min="11" max="11" width="7.140625" style="1" bestFit="1" customWidth="1"/>
    <col min="12" max="12" width="5.8515625" style="1" hidden="1" customWidth="1"/>
    <col min="13" max="16384" width="11.421875" style="1" customWidth="1"/>
  </cols>
  <sheetData>
    <row r="1" ht="11.25"/>
    <row r="2" spans="2:12" ht="11.25">
      <c r="B2" s="51"/>
      <c r="C2" s="51"/>
      <c r="D2" s="51"/>
      <c r="E2" s="51"/>
      <c r="F2" s="51"/>
      <c r="G2" s="51" t="s">
        <v>0</v>
      </c>
      <c r="H2" s="51"/>
      <c r="I2" s="51"/>
      <c r="J2" s="51"/>
      <c r="K2" s="51"/>
      <c r="L2" s="51"/>
    </row>
    <row r="3" spans="2:12" ht="11.25">
      <c r="B3" s="51"/>
      <c r="C3" s="51"/>
      <c r="D3" s="51"/>
      <c r="E3" s="51"/>
      <c r="F3" s="51"/>
      <c r="G3" s="51" t="s">
        <v>1</v>
      </c>
      <c r="H3" s="51"/>
      <c r="I3" s="51"/>
      <c r="J3" s="51"/>
      <c r="K3" s="51"/>
      <c r="L3" s="51"/>
    </row>
    <row r="4" spans="2:12" ht="11.25">
      <c r="B4" s="51"/>
      <c r="C4" s="51"/>
      <c r="D4" s="51"/>
      <c r="E4" s="51"/>
      <c r="F4" s="51"/>
      <c r="G4" s="51" t="s">
        <v>2</v>
      </c>
      <c r="H4" s="51"/>
      <c r="I4" s="51"/>
      <c r="J4" s="51"/>
      <c r="K4" s="51"/>
      <c r="L4" s="51"/>
    </row>
    <row r="5" spans="2:12" ht="11.25">
      <c r="B5" s="50"/>
      <c r="C5" s="50"/>
      <c r="D5" s="50"/>
      <c r="E5" s="50"/>
      <c r="F5" s="50"/>
      <c r="G5" s="50" t="s">
        <v>3</v>
      </c>
      <c r="H5" s="50"/>
      <c r="I5" s="50"/>
      <c r="J5" s="50"/>
      <c r="K5" s="50"/>
      <c r="L5" s="50"/>
    </row>
    <row r="6" spans="1:12" ht="11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53">
        <v>2001</v>
      </c>
      <c r="D8" s="53"/>
      <c r="E8" s="53"/>
      <c r="F8" s="54"/>
      <c r="G8" s="52">
        <v>2000</v>
      </c>
      <c r="H8" s="53"/>
      <c r="I8" s="53"/>
      <c r="J8" s="54"/>
      <c r="K8" s="53" t="s">
        <v>4</v>
      </c>
      <c r="L8" s="53"/>
    </row>
    <row r="9" spans="1:12" ht="11.25">
      <c r="A9" s="4"/>
      <c r="B9" s="4"/>
      <c r="C9" s="5" t="s">
        <v>5</v>
      </c>
      <c r="D9" s="5" t="s">
        <v>6</v>
      </c>
      <c r="E9" s="4" t="s">
        <v>7</v>
      </c>
      <c r="F9" s="4" t="s">
        <v>8</v>
      </c>
      <c r="G9" s="6" t="s">
        <v>5</v>
      </c>
      <c r="H9" s="5" t="s">
        <v>6</v>
      </c>
      <c r="I9" s="5" t="s">
        <v>7</v>
      </c>
      <c r="J9" s="7" t="s">
        <v>8</v>
      </c>
      <c r="K9" s="8" t="s">
        <v>9</v>
      </c>
      <c r="L9" s="8" t="s">
        <v>10</v>
      </c>
    </row>
    <row r="10" spans="1:12" ht="11.25">
      <c r="A10" s="9" t="s">
        <v>11</v>
      </c>
      <c r="B10" s="9"/>
      <c r="C10" s="9"/>
      <c r="D10" s="9"/>
      <c r="E10" s="9"/>
      <c r="F10" s="9"/>
      <c r="G10" s="10"/>
      <c r="H10" s="11"/>
      <c r="I10" s="11"/>
      <c r="J10" s="12"/>
      <c r="K10" s="13"/>
      <c r="L10" s="13"/>
    </row>
    <row r="11" spans="1:12" ht="11.25">
      <c r="A11" s="1" t="s">
        <v>12</v>
      </c>
      <c r="C11" s="14">
        <v>24678</v>
      </c>
      <c r="D11" s="14">
        <v>16511</v>
      </c>
      <c r="E11" s="14">
        <v>17686</v>
      </c>
      <c r="F11" s="14">
        <v>13155</v>
      </c>
      <c r="G11" s="15">
        <v>11861</v>
      </c>
      <c r="H11" s="16">
        <v>14008</v>
      </c>
      <c r="I11" s="16">
        <v>11587</v>
      </c>
      <c r="J11" s="17">
        <v>9061</v>
      </c>
      <c r="K11" s="14">
        <v>9077</v>
      </c>
      <c r="L11" s="14">
        <v>18467</v>
      </c>
    </row>
    <row r="12" spans="1:12" ht="11.25">
      <c r="A12" s="1" t="s">
        <v>13</v>
      </c>
      <c r="C12" s="14">
        <v>17202</v>
      </c>
      <c r="D12" s="14">
        <v>9452</v>
      </c>
      <c r="E12" s="14">
        <v>10789</v>
      </c>
      <c r="F12" s="14">
        <v>7868</v>
      </c>
      <c r="G12" s="15">
        <v>5585</v>
      </c>
      <c r="H12" s="16">
        <v>10407</v>
      </c>
      <c r="I12" s="16">
        <v>8520</v>
      </c>
      <c r="J12" s="17">
        <v>5461</v>
      </c>
      <c r="K12" s="14">
        <v>5109</v>
      </c>
      <c r="L12" s="14">
        <v>9686</v>
      </c>
    </row>
    <row r="13" spans="1:12" ht="11.25">
      <c r="A13" s="1" t="s">
        <v>14</v>
      </c>
      <c r="C13" s="14">
        <f aca="true" t="shared" si="0" ref="C13:L13">C14+C15</f>
        <v>5007</v>
      </c>
      <c r="D13" s="14">
        <f t="shared" si="0"/>
        <v>5105</v>
      </c>
      <c r="E13" s="14">
        <f t="shared" si="0"/>
        <v>5370</v>
      </c>
      <c r="F13" s="14">
        <f t="shared" si="0"/>
        <v>4698</v>
      </c>
      <c r="G13" s="15">
        <f t="shared" si="0"/>
        <v>5670</v>
      </c>
      <c r="H13" s="16">
        <f t="shared" si="0"/>
        <v>2988</v>
      </c>
      <c r="I13" s="16">
        <f t="shared" si="0"/>
        <v>2173</v>
      </c>
      <c r="J13" s="17">
        <f t="shared" si="0"/>
        <v>2669</v>
      </c>
      <c r="K13" s="14">
        <f t="shared" si="0"/>
        <v>2950</v>
      </c>
      <c r="L13" s="14">
        <f t="shared" si="0"/>
        <v>6465</v>
      </c>
    </row>
    <row r="14" spans="2:12" ht="11.25">
      <c r="B14" s="1" t="s">
        <v>15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  <c r="H14" s="16">
        <v>0</v>
      </c>
      <c r="I14" s="16">
        <v>0</v>
      </c>
      <c r="J14" s="17">
        <v>0</v>
      </c>
      <c r="K14" s="14">
        <v>0</v>
      </c>
      <c r="L14" s="14">
        <v>0</v>
      </c>
    </row>
    <row r="15" spans="2:12" ht="11.25">
      <c r="B15" s="1" t="s">
        <v>16</v>
      </c>
      <c r="C15" s="14">
        <v>5007</v>
      </c>
      <c r="D15" s="14">
        <v>5105</v>
      </c>
      <c r="E15" s="14">
        <v>5370</v>
      </c>
      <c r="F15" s="14">
        <v>4698</v>
      </c>
      <c r="G15" s="15">
        <v>5670</v>
      </c>
      <c r="H15" s="16">
        <v>2988</v>
      </c>
      <c r="I15" s="16">
        <v>2173</v>
      </c>
      <c r="J15" s="17">
        <v>2669</v>
      </c>
      <c r="K15" s="14">
        <v>2950</v>
      </c>
      <c r="L15" s="14">
        <v>6465</v>
      </c>
    </row>
    <row r="16" spans="1:12" ht="11.25">
      <c r="A16" s="1" t="s">
        <v>17</v>
      </c>
      <c r="C16" s="18">
        <v>0</v>
      </c>
      <c r="D16" s="18">
        <v>0</v>
      </c>
      <c r="E16" s="14">
        <v>0</v>
      </c>
      <c r="F16" s="14">
        <v>0</v>
      </c>
      <c r="G16" s="15">
        <v>0</v>
      </c>
      <c r="H16" s="16">
        <v>0</v>
      </c>
      <c r="I16" s="16">
        <v>0</v>
      </c>
      <c r="J16" s="17">
        <v>0</v>
      </c>
      <c r="K16" s="14">
        <v>60</v>
      </c>
      <c r="L16" s="14">
        <v>60</v>
      </c>
    </row>
    <row r="17" spans="1:12" ht="11.25">
      <c r="A17" s="1" t="s">
        <v>18</v>
      </c>
      <c r="C17" s="14">
        <f aca="true" t="shared" si="1" ref="C17:L17">C18+C22</f>
        <v>18312</v>
      </c>
      <c r="D17" s="14">
        <f t="shared" si="1"/>
        <v>10766</v>
      </c>
      <c r="E17" s="14">
        <f t="shared" si="1"/>
        <v>12159</v>
      </c>
      <c r="F17" s="14">
        <f t="shared" si="1"/>
        <v>8369</v>
      </c>
      <c r="G17" s="15">
        <f t="shared" si="1"/>
        <v>7243</v>
      </c>
      <c r="H17" s="16">
        <f t="shared" si="1"/>
        <v>9168</v>
      </c>
      <c r="I17" s="16">
        <f t="shared" si="1"/>
        <v>6599</v>
      </c>
      <c r="J17" s="17">
        <f t="shared" si="1"/>
        <v>4631</v>
      </c>
      <c r="K17" s="14">
        <f t="shared" si="1"/>
        <v>4344</v>
      </c>
      <c r="L17" s="14">
        <f t="shared" si="1"/>
        <v>12729</v>
      </c>
    </row>
    <row r="18" spans="2:12" ht="11.25">
      <c r="B18" s="1" t="s">
        <v>15</v>
      </c>
      <c r="C18" s="14">
        <f aca="true" t="shared" si="2" ref="C18:L18">SUM(C19:C21)</f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5">
        <f t="shared" si="2"/>
        <v>0</v>
      </c>
      <c r="H18" s="16">
        <f t="shared" si="2"/>
        <v>0</v>
      </c>
      <c r="I18" s="16">
        <f t="shared" si="2"/>
        <v>0</v>
      </c>
      <c r="J18" s="17">
        <f t="shared" si="2"/>
        <v>0</v>
      </c>
      <c r="K18" s="14">
        <f t="shared" si="2"/>
        <v>0</v>
      </c>
      <c r="L18" s="14">
        <f t="shared" si="2"/>
        <v>0</v>
      </c>
    </row>
    <row r="19" spans="2:12" ht="11.25">
      <c r="B19" s="1" t="s">
        <v>19</v>
      </c>
      <c r="C19" s="14">
        <v>0</v>
      </c>
      <c r="D19" s="14">
        <v>0</v>
      </c>
      <c r="E19" s="14">
        <v>0</v>
      </c>
      <c r="F19" s="19">
        <v>0</v>
      </c>
      <c r="G19" s="15">
        <v>0</v>
      </c>
      <c r="H19" s="16">
        <v>0</v>
      </c>
      <c r="I19" s="16">
        <v>0</v>
      </c>
      <c r="J19" s="17">
        <v>0</v>
      </c>
      <c r="K19" s="14">
        <v>0</v>
      </c>
      <c r="L19" s="14">
        <v>0</v>
      </c>
    </row>
    <row r="20" spans="2:12" ht="11.25">
      <c r="B20" s="1" t="s">
        <v>20</v>
      </c>
      <c r="C20" s="14">
        <v>0</v>
      </c>
      <c r="D20" s="14">
        <v>0</v>
      </c>
      <c r="E20" s="14">
        <v>0</v>
      </c>
      <c r="F20" s="19">
        <v>0</v>
      </c>
      <c r="G20" s="15">
        <v>0</v>
      </c>
      <c r="H20" s="16">
        <v>0</v>
      </c>
      <c r="I20" s="16">
        <v>0</v>
      </c>
      <c r="J20" s="17">
        <v>0</v>
      </c>
      <c r="K20" s="14">
        <v>0</v>
      </c>
      <c r="L20" s="14">
        <v>0</v>
      </c>
    </row>
    <row r="21" spans="2:12" ht="11.25">
      <c r="B21" s="1" t="s">
        <v>21</v>
      </c>
      <c r="C21" s="14">
        <v>0</v>
      </c>
      <c r="D21" s="14">
        <v>0</v>
      </c>
      <c r="E21" s="14">
        <v>0</v>
      </c>
      <c r="F21" s="19">
        <v>0</v>
      </c>
      <c r="G21" s="15">
        <v>0</v>
      </c>
      <c r="H21" s="16">
        <v>0</v>
      </c>
      <c r="I21" s="16">
        <v>0</v>
      </c>
      <c r="J21" s="17">
        <v>0</v>
      </c>
      <c r="K21" s="14">
        <v>0</v>
      </c>
      <c r="L21" s="14">
        <v>0</v>
      </c>
    </row>
    <row r="22" spans="2:12" ht="11.25">
      <c r="B22" s="1" t="s">
        <v>16</v>
      </c>
      <c r="C22" s="14">
        <f aca="true" t="shared" si="3" ref="C22:L22">SUM(C23:C24)</f>
        <v>18312</v>
      </c>
      <c r="D22" s="14">
        <f t="shared" si="3"/>
        <v>10766</v>
      </c>
      <c r="E22" s="14">
        <f t="shared" si="3"/>
        <v>12159</v>
      </c>
      <c r="F22" s="19">
        <f t="shared" si="3"/>
        <v>8369</v>
      </c>
      <c r="G22" s="15">
        <f t="shared" si="3"/>
        <v>7243</v>
      </c>
      <c r="H22" s="16">
        <f t="shared" si="3"/>
        <v>9168</v>
      </c>
      <c r="I22" s="16">
        <f t="shared" si="3"/>
        <v>6599</v>
      </c>
      <c r="J22" s="17">
        <f t="shared" si="3"/>
        <v>4631</v>
      </c>
      <c r="K22" s="14">
        <f t="shared" si="3"/>
        <v>4344</v>
      </c>
      <c r="L22" s="14">
        <f t="shared" si="3"/>
        <v>12729</v>
      </c>
    </row>
    <row r="23" spans="2:12" ht="11.25">
      <c r="B23" s="1" t="s">
        <v>20</v>
      </c>
      <c r="C23" s="14">
        <f>10507+5</f>
        <v>10512</v>
      </c>
      <c r="D23" s="14">
        <f>67+8899+1800</f>
        <v>10766</v>
      </c>
      <c r="E23" s="14">
        <v>12159</v>
      </c>
      <c r="F23" s="19">
        <v>8369</v>
      </c>
      <c r="G23" s="15">
        <f>43+7200</f>
        <v>7243</v>
      </c>
      <c r="H23" s="16">
        <v>9168</v>
      </c>
      <c r="I23" s="16">
        <v>6599</v>
      </c>
      <c r="J23" s="17">
        <v>4631</v>
      </c>
      <c r="K23" s="14">
        <v>4344</v>
      </c>
      <c r="L23" s="14">
        <v>12729</v>
      </c>
    </row>
    <row r="24" spans="2:12" ht="11.25">
      <c r="B24" s="1" t="s">
        <v>21</v>
      </c>
      <c r="C24" s="14">
        <v>7800</v>
      </c>
      <c r="D24" s="14">
        <v>0</v>
      </c>
      <c r="E24" s="14">
        <v>0</v>
      </c>
      <c r="F24" s="19">
        <v>0</v>
      </c>
      <c r="G24" s="15">
        <v>0</v>
      </c>
      <c r="H24" s="16">
        <v>0</v>
      </c>
      <c r="I24" s="16">
        <v>0</v>
      </c>
      <c r="J24" s="17">
        <v>0</v>
      </c>
      <c r="K24" s="14">
        <v>0</v>
      </c>
      <c r="L24" s="14">
        <v>0</v>
      </c>
    </row>
    <row r="25" spans="1:12" ht="11.25">
      <c r="A25" s="2" t="s">
        <v>22</v>
      </c>
      <c r="B25" s="2"/>
      <c r="C25" s="20">
        <v>3923</v>
      </c>
      <c r="D25" s="20">
        <v>3755</v>
      </c>
      <c r="E25" s="20">
        <v>3759</v>
      </c>
      <c r="F25" s="20">
        <v>4194</v>
      </c>
      <c r="G25" s="21">
        <v>4260</v>
      </c>
      <c r="H25" s="20">
        <v>4141</v>
      </c>
      <c r="I25" s="20">
        <v>4080</v>
      </c>
      <c r="J25" s="22">
        <v>4090</v>
      </c>
      <c r="K25" s="20">
        <v>4126</v>
      </c>
      <c r="L25" s="20">
        <v>4039</v>
      </c>
    </row>
    <row r="26" spans="1:12" ht="11.25">
      <c r="A26" s="9" t="s">
        <v>23</v>
      </c>
      <c r="F26" s="14"/>
      <c r="G26" s="15"/>
      <c r="H26" s="16"/>
      <c r="I26" s="16"/>
      <c r="J26" s="17"/>
      <c r="K26" s="14"/>
      <c r="L26" s="14"/>
    </row>
    <row r="27" spans="1:12" ht="11.25">
      <c r="A27" s="1" t="s">
        <v>12</v>
      </c>
      <c r="C27" s="14">
        <f>(C11+G11)/2</f>
        <v>18269.5</v>
      </c>
      <c r="D27" s="14">
        <f>(D11+H11)/2</f>
        <v>15259.5</v>
      </c>
      <c r="E27" s="14">
        <f>(E11+I11)/2</f>
        <v>14636.5</v>
      </c>
      <c r="F27" s="14">
        <f>+(F11+J11)/2</f>
        <v>11108</v>
      </c>
      <c r="G27" s="15">
        <f>+(G11+K11)/2</f>
        <v>10469</v>
      </c>
      <c r="H27" s="16">
        <f>+(9120+H11)/2</f>
        <v>11564</v>
      </c>
      <c r="I27" s="16">
        <f>+(9322+I11)/2</f>
        <v>10454.5</v>
      </c>
      <c r="J27" s="17">
        <f>+(17524+J11)/2</f>
        <v>13292.5</v>
      </c>
      <c r="K27" s="14">
        <f>+(K11+L11)/2</f>
        <v>13772</v>
      </c>
      <c r="L27" s="14">
        <f>+(L11+21610)/2</f>
        <v>20038.5</v>
      </c>
    </row>
    <row r="28" spans="1:12" ht="11.25">
      <c r="A28" s="1" t="s">
        <v>24</v>
      </c>
      <c r="C28" s="14">
        <f aca="true" t="shared" si="4" ref="C28:L28">C29+C30</f>
        <v>5338.5</v>
      </c>
      <c r="D28" s="14">
        <f t="shared" si="4"/>
        <v>4046.5</v>
      </c>
      <c r="E28" s="14">
        <f t="shared" si="4"/>
        <v>3771.5</v>
      </c>
      <c r="F28" s="14">
        <f t="shared" si="4"/>
        <v>3683.5</v>
      </c>
      <c r="G28" s="15">
        <f t="shared" si="4"/>
        <v>4340</v>
      </c>
      <c r="H28" s="16">
        <f t="shared" si="4"/>
        <v>3274.5</v>
      </c>
      <c r="I28" s="16">
        <f t="shared" si="4"/>
        <v>2882</v>
      </c>
      <c r="J28" s="17">
        <f t="shared" si="4"/>
        <v>3687</v>
      </c>
      <c r="K28" s="14">
        <f t="shared" si="4"/>
        <v>4767.5</v>
      </c>
      <c r="L28" s="14">
        <f t="shared" si="4"/>
        <v>5000.5</v>
      </c>
    </row>
    <row r="29" spans="2:12" ht="11.25">
      <c r="B29" s="1" t="s">
        <v>14</v>
      </c>
      <c r="C29" s="14">
        <f>(C13+G13)/2</f>
        <v>5338.5</v>
      </c>
      <c r="D29" s="14">
        <f>(D13+H13)/2</f>
        <v>4046.5</v>
      </c>
      <c r="E29" s="14">
        <f>(E13+I13)/2</f>
        <v>3771.5</v>
      </c>
      <c r="F29" s="14">
        <f>+(F13+J13)/2</f>
        <v>3683.5</v>
      </c>
      <c r="G29" s="15">
        <f>+(G13+K13)/2</f>
        <v>4310</v>
      </c>
      <c r="H29" s="16">
        <f>+(3501+H13)/2</f>
        <v>3244.5</v>
      </c>
      <c r="I29" s="16">
        <f>+(3531+I13)/2</f>
        <v>2852</v>
      </c>
      <c r="J29" s="17">
        <f>+(4645+J13)/2</f>
        <v>3657</v>
      </c>
      <c r="K29" s="14">
        <f>+(K13+L13)/2</f>
        <v>4707.5</v>
      </c>
      <c r="L29" s="14">
        <f>+(L13+2826)/2</f>
        <v>4645.5</v>
      </c>
    </row>
    <row r="30" spans="2:12" ht="11.25">
      <c r="B30" s="1" t="s">
        <v>17</v>
      </c>
      <c r="C30" s="14">
        <f>(C16+G16)/2</f>
        <v>0</v>
      </c>
      <c r="D30" s="14">
        <f>(D16+H16)/2</f>
        <v>0</v>
      </c>
      <c r="E30" s="14">
        <f>(E16+I16)/2</f>
        <v>0</v>
      </c>
      <c r="F30" s="14">
        <f>+(F16+J16)/2</f>
        <v>0</v>
      </c>
      <c r="G30" s="15">
        <f>+(G16+K16)/2</f>
        <v>30</v>
      </c>
      <c r="H30" s="16">
        <f>+(60+H16)/2</f>
        <v>30</v>
      </c>
      <c r="I30" s="16">
        <f>+(60+I16)/2</f>
        <v>30</v>
      </c>
      <c r="J30" s="17">
        <f>+(60+J16)/2</f>
        <v>30</v>
      </c>
      <c r="K30" s="14">
        <f>+(K16+L16)/2</f>
        <v>60</v>
      </c>
      <c r="L30" s="14">
        <f>+(L16+650)/2</f>
        <v>355</v>
      </c>
    </row>
    <row r="31" spans="1:12" ht="11.25">
      <c r="A31" s="2" t="s">
        <v>22</v>
      </c>
      <c r="B31" s="2"/>
      <c r="C31" s="20">
        <f>(C25+G25)/2</f>
        <v>4091.5</v>
      </c>
      <c r="D31" s="20">
        <f>(D25+H25)/2</f>
        <v>3948</v>
      </c>
      <c r="E31" s="20">
        <f>(E25+I25)/2</f>
        <v>3919.5</v>
      </c>
      <c r="F31" s="20">
        <f>+(F25+J25)/2</f>
        <v>4142</v>
      </c>
      <c r="G31" s="21">
        <f>+(G25+K25)/2</f>
        <v>4193</v>
      </c>
      <c r="H31" s="20">
        <f>+(4254+H25)/2</f>
        <v>4197.5</v>
      </c>
      <c r="I31" s="20">
        <f>+(4162+I25)/2</f>
        <v>4121</v>
      </c>
      <c r="J31" s="22">
        <f>+(4095+J25)/2</f>
        <v>4092.5</v>
      </c>
      <c r="K31" s="20">
        <f>+(K25+L25)/2</f>
        <v>4082.5</v>
      </c>
      <c r="L31" s="20">
        <f>+(L25+3876)/2</f>
        <v>3957.5</v>
      </c>
    </row>
    <row r="32" spans="1:12" ht="11.25">
      <c r="A32" s="9" t="s">
        <v>25</v>
      </c>
      <c r="G32" s="15"/>
      <c r="H32" s="16"/>
      <c r="I32" s="16"/>
      <c r="J32" s="17"/>
      <c r="K32" s="14"/>
      <c r="L32" s="14"/>
    </row>
    <row r="33" spans="1:12" ht="11.25">
      <c r="A33" s="1" t="s">
        <v>26</v>
      </c>
      <c r="C33" s="14">
        <v>1123</v>
      </c>
      <c r="D33" s="14">
        <v>796</v>
      </c>
      <c r="E33" s="14">
        <v>545</v>
      </c>
      <c r="F33" s="14">
        <v>317</v>
      </c>
      <c r="G33" s="15">
        <v>997</v>
      </c>
      <c r="H33" s="16">
        <v>688</v>
      </c>
      <c r="I33" s="16">
        <v>395</v>
      </c>
      <c r="J33" s="17">
        <v>201</v>
      </c>
      <c r="K33" s="14">
        <v>1454</v>
      </c>
      <c r="L33" s="14">
        <v>1949</v>
      </c>
    </row>
    <row r="34" spans="1:12" ht="11.25">
      <c r="A34" s="1" t="s">
        <v>27</v>
      </c>
      <c r="C34" s="14">
        <v>1008</v>
      </c>
      <c r="D34" s="14">
        <v>705</v>
      </c>
      <c r="E34" s="14">
        <v>391</v>
      </c>
      <c r="F34" s="14">
        <v>184</v>
      </c>
      <c r="G34" s="15">
        <v>629</v>
      </c>
      <c r="H34" s="16">
        <v>454</v>
      </c>
      <c r="I34" s="16">
        <v>228</v>
      </c>
      <c r="J34" s="17">
        <v>107</v>
      </c>
      <c r="K34" s="14">
        <v>432</v>
      </c>
      <c r="L34" s="14">
        <v>1795</v>
      </c>
    </row>
    <row r="35" spans="1:12" ht="11.25">
      <c r="A35" s="1" t="s">
        <v>28</v>
      </c>
      <c r="C35" s="14">
        <f aca="true" t="shared" si="5" ref="C35:L35">C33-C34</f>
        <v>115</v>
      </c>
      <c r="D35" s="14">
        <f t="shared" si="5"/>
        <v>91</v>
      </c>
      <c r="E35" s="14">
        <f t="shared" si="5"/>
        <v>154</v>
      </c>
      <c r="F35" s="14">
        <f t="shared" si="5"/>
        <v>133</v>
      </c>
      <c r="G35" s="15">
        <f t="shared" si="5"/>
        <v>368</v>
      </c>
      <c r="H35" s="16">
        <f t="shared" si="5"/>
        <v>234</v>
      </c>
      <c r="I35" s="16">
        <f t="shared" si="5"/>
        <v>167</v>
      </c>
      <c r="J35" s="17">
        <f t="shared" si="5"/>
        <v>94</v>
      </c>
      <c r="K35" s="14">
        <f t="shared" si="5"/>
        <v>1022</v>
      </c>
      <c r="L35" s="14">
        <f t="shared" si="5"/>
        <v>154</v>
      </c>
    </row>
    <row r="36" spans="1:12" ht="11.25">
      <c r="A36" s="1" t="s">
        <v>29</v>
      </c>
      <c r="C36" s="14">
        <v>523</v>
      </c>
      <c r="D36" s="14">
        <v>263</v>
      </c>
      <c r="E36" s="14">
        <v>110</v>
      </c>
      <c r="F36" s="14">
        <v>74</v>
      </c>
      <c r="G36" s="15">
        <v>345</v>
      </c>
      <c r="H36" s="16">
        <v>203</v>
      </c>
      <c r="I36" s="16">
        <v>11</v>
      </c>
      <c r="J36" s="17">
        <v>8</v>
      </c>
      <c r="K36" s="14">
        <v>82</v>
      </c>
      <c r="L36" s="14">
        <v>53</v>
      </c>
    </row>
    <row r="37" spans="1:12" ht="11.25">
      <c r="A37" s="1" t="s">
        <v>30</v>
      </c>
      <c r="C37" s="14">
        <f>+C35+C36</f>
        <v>638</v>
      </c>
      <c r="D37" s="14">
        <f aca="true" t="shared" si="6" ref="D37:L37">D35+D36</f>
        <v>354</v>
      </c>
      <c r="E37" s="14">
        <f t="shared" si="6"/>
        <v>264</v>
      </c>
      <c r="F37" s="14">
        <f t="shared" si="6"/>
        <v>207</v>
      </c>
      <c r="G37" s="15">
        <f t="shared" si="6"/>
        <v>713</v>
      </c>
      <c r="H37" s="16">
        <f t="shared" si="6"/>
        <v>437</v>
      </c>
      <c r="I37" s="16">
        <f t="shared" si="6"/>
        <v>178</v>
      </c>
      <c r="J37" s="17">
        <f t="shared" si="6"/>
        <v>102</v>
      </c>
      <c r="K37" s="14">
        <f t="shared" si="6"/>
        <v>1104</v>
      </c>
      <c r="L37" s="14">
        <f t="shared" si="6"/>
        <v>207</v>
      </c>
    </row>
    <row r="38" spans="1:12" ht="11.25">
      <c r="A38" s="1" t="s">
        <v>31</v>
      </c>
      <c r="C38" s="14">
        <v>418</v>
      </c>
      <c r="D38" s="14">
        <v>303</v>
      </c>
      <c r="E38" s="14">
        <v>210</v>
      </c>
      <c r="F38" s="14">
        <v>122</v>
      </c>
      <c r="G38" s="15">
        <v>559</v>
      </c>
      <c r="H38" s="16">
        <v>401</v>
      </c>
      <c r="I38" s="16">
        <v>204</v>
      </c>
      <c r="J38" s="17">
        <v>118</v>
      </c>
      <c r="K38" s="14">
        <v>442</v>
      </c>
      <c r="L38" s="14">
        <v>412</v>
      </c>
    </row>
    <row r="39" spans="1:12" ht="11.25">
      <c r="A39" s="1" t="s">
        <v>32</v>
      </c>
      <c r="C39" s="14">
        <f>+C37-C38</f>
        <v>220</v>
      </c>
      <c r="D39" s="14">
        <f>D37-D38</f>
        <v>51</v>
      </c>
      <c r="E39" s="14">
        <v>55</v>
      </c>
      <c r="F39" s="14">
        <f aca="true" t="shared" si="7" ref="F39:L39">F37-F38</f>
        <v>85</v>
      </c>
      <c r="G39" s="15">
        <f t="shared" si="7"/>
        <v>154</v>
      </c>
      <c r="H39" s="16">
        <f t="shared" si="7"/>
        <v>36</v>
      </c>
      <c r="I39" s="16">
        <f t="shared" si="7"/>
        <v>-26</v>
      </c>
      <c r="J39" s="17">
        <f t="shared" si="7"/>
        <v>-16</v>
      </c>
      <c r="K39" s="14">
        <f t="shared" si="7"/>
        <v>662</v>
      </c>
      <c r="L39" s="14">
        <f t="shared" si="7"/>
        <v>-205</v>
      </c>
    </row>
    <row r="40" spans="1:12" ht="11.25">
      <c r="A40" s="2" t="s">
        <v>33</v>
      </c>
      <c r="B40" s="2"/>
      <c r="C40" s="20">
        <v>220</v>
      </c>
      <c r="D40" s="20">
        <v>51</v>
      </c>
      <c r="E40" s="20">
        <v>55</v>
      </c>
      <c r="F40" s="20">
        <v>85</v>
      </c>
      <c r="G40" s="21">
        <v>154</v>
      </c>
      <c r="H40" s="20">
        <v>36</v>
      </c>
      <c r="I40" s="20">
        <v>-26</v>
      </c>
      <c r="J40" s="22">
        <v>-16</v>
      </c>
      <c r="K40" s="20">
        <v>289</v>
      </c>
      <c r="L40" s="20">
        <v>204</v>
      </c>
    </row>
    <row r="41" spans="1:12" ht="11.25">
      <c r="A41" s="23" t="s">
        <v>34</v>
      </c>
      <c r="B41" s="3"/>
      <c r="C41" s="24"/>
      <c r="D41" s="16"/>
      <c r="E41" s="14"/>
      <c r="F41" s="3"/>
      <c r="G41" s="25"/>
      <c r="H41" s="3"/>
      <c r="I41" s="3"/>
      <c r="J41" s="26"/>
      <c r="K41" s="3"/>
      <c r="L41" s="3"/>
    </row>
    <row r="42" spans="1:12" ht="11.25">
      <c r="A42" s="24" t="s">
        <v>35</v>
      </c>
      <c r="B42" s="24"/>
      <c r="C42" s="24">
        <v>552</v>
      </c>
      <c r="D42" s="16">
        <v>893</v>
      </c>
      <c r="E42" s="14">
        <v>730</v>
      </c>
      <c r="F42" s="16">
        <v>721</v>
      </c>
      <c r="G42" s="15">
        <v>664</v>
      </c>
      <c r="H42" s="16">
        <v>939</v>
      </c>
      <c r="I42" s="16">
        <v>1044</v>
      </c>
      <c r="J42" s="17">
        <v>1407</v>
      </c>
      <c r="K42" s="16">
        <v>1297</v>
      </c>
      <c r="L42" s="16">
        <v>554</v>
      </c>
    </row>
    <row r="43" spans="1:12" ht="11.25">
      <c r="A43" s="24" t="s">
        <v>36</v>
      </c>
      <c r="B43" s="24"/>
      <c r="C43" s="24">
        <v>654</v>
      </c>
      <c r="D43" s="16">
        <v>654</v>
      </c>
      <c r="E43" s="14">
        <v>654</v>
      </c>
      <c r="F43" s="16">
        <v>249</v>
      </c>
      <c r="G43" s="15">
        <v>200</v>
      </c>
      <c r="H43" s="16">
        <v>200</v>
      </c>
      <c r="I43" s="16">
        <v>200</v>
      </c>
      <c r="J43" s="17">
        <v>200</v>
      </c>
      <c r="K43" s="16">
        <v>200</v>
      </c>
      <c r="L43" s="16">
        <v>0</v>
      </c>
    </row>
    <row r="44" spans="1:12" ht="11.25">
      <c r="A44" s="24" t="s">
        <v>37</v>
      </c>
      <c r="B44" s="24"/>
      <c r="C44" s="27">
        <f aca="true" t="shared" si="8" ref="C44:L44">C42/C13</f>
        <v>0.11024565608148593</v>
      </c>
      <c r="D44" s="27">
        <f t="shared" si="8"/>
        <v>0.17492654260528892</v>
      </c>
      <c r="E44" s="27">
        <f t="shared" si="8"/>
        <v>0.13594040968342644</v>
      </c>
      <c r="F44" s="28">
        <f t="shared" si="8"/>
        <v>0.15346956151553853</v>
      </c>
      <c r="G44" s="29">
        <f t="shared" si="8"/>
        <v>0.11710758377425044</v>
      </c>
      <c r="H44" s="28">
        <f t="shared" si="8"/>
        <v>0.3142570281124498</v>
      </c>
      <c r="I44" s="28">
        <f t="shared" si="8"/>
        <v>0.48044178554993094</v>
      </c>
      <c r="J44" s="30">
        <f t="shared" si="8"/>
        <v>0.5271637317347321</v>
      </c>
      <c r="K44" s="28">
        <f t="shared" si="8"/>
        <v>0.43966101694915255</v>
      </c>
      <c r="L44" s="28">
        <f t="shared" si="8"/>
        <v>0.08569218870843001</v>
      </c>
    </row>
    <row r="45" spans="1:12" ht="11.25">
      <c r="A45" s="24" t="s">
        <v>38</v>
      </c>
      <c r="B45" s="24"/>
      <c r="C45" s="28">
        <f aca="true" t="shared" si="9" ref="C45:L45">+C43/C42</f>
        <v>1.184782608695652</v>
      </c>
      <c r="D45" s="28">
        <f t="shared" si="9"/>
        <v>0.7323628219484882</v>
      </c>
      <c r="E45" s="28">
        <f t="shared" si="9"/>
        <v>0.8958904109589041</v>
      </c>
      <c r="F45" s="28">
        <f t="shared" si="9"/>
        <v>0.34535367545076284</v>
      </c>
      <c r="G45" s="29">
        <f t="shared" si="9"/>
        <v>0.30120481927710846</v>
      </c>
      <c r="H45" s="28">
        <f t="shared" si="9"/>
        <v>0.21299254526091588</v>
      </c>
      <c r="I45" s="28">
        <f t="shared" si="9"/>
        <v>0.19157088122605365</v>
      </c>
      <c r="J45" s="30">
        <f t="shared" si="9"/>
        <v>0.14214641080312723</v>
      </c>
      <c r="K45" s="28">
        <f t="shared" si="9"/>
        <v>0.15420200462606015</v>
      </c>
      <c r="L45" s="28">
        <f t="shared" si="9"/>
        <v>0</v>
      </c>
    </row>
    <row r="46" spans="1:13" ht="11.25">
      <c r="A46" s="2" t="s">
        <v>39</v>
      </c>
      <c r="B46" s="2"/>
      <c r="C46" s="31">
        <f>C43/C13</f>
        <v>0.13061713600958658</v>
      </c>
      <c r="D46" s="31">
        <f>D43/D13</f>
        <v>0.12810969637610187</v>
      </c>
      <c r="E46" s="31">
        <f>E43/E13</f>
        <v>0.1217877094972067</v>
      </c>
      <c r="F46" s="31">
        <f aca="true" t="shared" si="10" ref="F46:L46">+F43/F13</f>
        <v>0.05300127713920817</v>
      </c>
      <c r="G46" s="32">
        <f t="shared" si="10"/>
        <v>0.03527336860670194</v>
      </c>
      <c r="H46" s="31">
        <f t="shared" si="10"/>
        <v>0.06693440428380187</v>
      </c>
      <c r="I46" s="31">
        <f t="shared" si="10"/>
        <v>0.09203865623561897</v>
      </c>
      <c r="J46" s="33">
        <f t="shared" si="10"/>
        <v>0.07493443237167478</v>
      </c>
      <c r="K46" s="31">
        <f t="shared" si="10"/>
        <v>0.06779661016949153</v>
      </c>
      <c r="L46" s="31">
        <f t="shared" si="10"/>
        <v>0</v>
      </c>
      <c r="M46" s="28"/>
    </row>
    <row r="47" spans="1:12" ht="11.25">
      <c r="A47" s="34" t="s">
        <v>40</v>
      </c>
      <c r="B47" s="35"/>
      <c r="C47" s="36"/>
      <c r="D47" s="36"/>
      <c r="E47" s="36"/>
      <c r="F47" s="37"/>
      <c r="G47" s="38"/>
      <c r="H47" s="36"/>
      <c r="I47" s="36"/>
      <c r="J47" s="37"/>
      <c r="K47" s="36"/>
      <c r="L47" s="36"/>
    </row>
    <row r="48" spans="1:12" ht="11.25">
      <c r="A48" s="35" t="s">
        <v>41</v>
      </c>
      <c r="B48" s="35"/>
      <c r="C48" s="39">
        <f aca="true" t="shared" si="11" ref="C48:L48">+C25/C13</f>
        <v>0.7835030956660675</v>
      </c>
      <c r="D48" s="39">
        <f t="shared" si="11"/>
        <v>0.7355533790401567</v>
      </c>
      <c r="E48" s="39">
        <f t="shared" si="11"/>
        <v>0.7</v>
      </c>
      <c r="F48" s="40">
        <f t="shared" si="11"/>
        <v>0.89272030651341</v>
      </c>
      <c r="G48" s="41">
        <f t="shared" si="11"/>
        <v>0.7513227513227513</v>
      </c>
      <c r="H48" s="39">
        <f t="shared" si="11"/>
        <v>1.3858768406961177</v>
      </c>
      <c r="I48" s="39">
        <f t="shared" si="11"/>
        <v>1.8775885872066267</v>
      </c>
      <c r="J48" s="40">
        <f t="shared" si="11"/>
        <v>1.5324091420007493</v>
      </c>
      <c r="K48" s="39">
        <f t="shared" si="11"/>
        <v>1.39864406779661</v>
      </c>
      <c r="L48" s="39">
        <f t="shared" si="11"/>
        <v>0.6247486465583914</v>
      </c>
    </row>
    <row r="49" spans="1:12" ht="11.25">
      <c r="A49" s="42" t="s">
        <v>42</v>
      </c>
      <c r="B49" s="42"/>
      <c r="C49" s="43">
        <f aca="true" t="shared" si="12" ref="C49:L49">C25/(C13+C16)</f>
        <v>0.7835030956660675</v>
      </c>
      <c r="D49" s="43">
        <f t="shared" si="12"/>
        <v>0.7355533790401567</v>
      </c>
      <c r="E49" s="43">
        <f t="shared" si="12"/>
        <v>0.7</v>
      </c>
      <c r="F49" s="44">
        <f t="shared" si="12"/>
        <v>0.89272030651341</v>
      </c>
      <c r="G49" s="45">
        <f t="shared" si="12"/>
        <v>0.7513227513227513</v>
      </c>
      <c r="H49" s="43">
        <f t="shared" si="12"/>
        <v>1.3858768406961177</v>
      </c>
      <c r="I49" s="43">
        <f t="shared" si="12"/>
        <v>1.8775885872066267</v>
      </c>
      <c r="J49" s="44">
        <f t="shared" si="12"/>
        <v>1.5324091420007493</v>
      </c>
      <c r="K49" s="43">
        <f t="shared" si="12"/>
        <v>1.370764119601329</v>
      </c>
      <c r="L49" s="43">
        <f t="shared" si="12"/>
        <v>0.6190038314176245</v>
      </c>
    </row>
    <row r="50" spans="1:10" ht="11.25">
      <c r="A50" s="9" t="s">
        <v>43</v>
      </c>
      <c r="G50" s="46"/>
      <c r="H50" s="24"/>
      <c r="I50" s="24"/>
      <c r="J50" s="47"/>
    </row>
    <row r="51" spans="1:12" ht="11.25">
      <c r="A51" s="1" t="s">
        <v>44</v>
      </c>
      <c r="C51" s="48">
        <f aca="true" t="shared" si="13" ref="C51:L51">C12/C17</f>
        <v>0.9393840104849279</v>
      </c>
      <c r="D51" s="48">
        <f t="shared" si="13"/>
        <v>0.877949099015419</v>
      </c>
      <c r="E51" s="48">
        <f t="shared" si="13"/>
        <v>0.8873262603832552</v>
      </c>
      <c r="F51" s="27">
        <f t="shared" si="13"/>
        <v>0.9401362169912774</v>
      </c>
      <c r="G51" s="29">
        <f t="shared" si="13"/>
        <v>0.771089327626674</v>
      </c>
      <c r="H51" s="28">
        <f t="shared" si="13"/>
        <v>1.1351439790575917</v>
      </c>
      <c r="I51" s="28">
        <f t="shared" si="13"/>
        <v>1.2911047128352782</v>
      </c>
      <c r="J51" s="30">
        <f t="shared" si="13"/>
        <v>1.1792269488231484</v>
      </c>
      <c r="K51" s="27">
        <f t="shared" si="13"/>
        <v>1.1761049723756907</v>
      </c>
      <c r="L51" s="27">
        <f t="shared" si="13"/>
        <v>0.7609395867703669</v>
      </c>
    </row>
    <row r="52" spans="1:12" ht="11.25">
      <c r="A52" s="1" t="s">
        <v>45</v>
      </c>
      <c r="C52" s="48">
        <f aca="true" t="shared" si="14" ref="C52:L52">C12/C11</f>
        <v>0.6970581084366643</v>
      </c>
      <c r="D52" s="48">
        <f t="shared" si="14"/>
        <v>0.5724668402882926</v>
      </c>
      <c r="E52" s="48">
        <f t="shared" si="14"/>
        <v>0.6100305326246749</v>
      </c>
      <c r="F52" s="27">
        <f t="shared" si="14"/>
        <v>0.5980995819080198</v>
      </c>
      <c r="G52" s="29">
        <f t="shared" si="14"/>
        <v>0.4708709215074614</v>
      </c>
      <c r="H52" s="28">
        <f t="shared" si="14"/>
        <v>0.7429326099371788</v>
      </c>
      <c r="I52" s="28">
        <f t="shared" si="14"/>
        <v>0.735306809355312</v>
      </c>
      <c r="J52" s="30">
        <f t="shared" si="14"/>
        <v>0.6026928595077806</v>
      </c>
      <c r="K52" s="27">
        <f t="shared" si="14"/>
        <v>0.5628511622782858</v>
      </c>
      <c r="L52" s="27">
        <f t="shared" si="14"/>
        <v>0.5245031678128553</v>
      </c>
    </row>
    <row r="53" spans="1:12" ht="11.25">
      <c r="A53" s="2" t="s">
        <v>46</v>
      </c>
      <c r="B53" s="2"/>
      <c r="C53" s="49">
        <f aca="true" t="shared" si="15" ref="C53:L53">(C12+C16)/C17</f>
        <v>0.9393840104849279</v>
      </c>
      <c r="D53" s="49">
        <f t="shared" si="15"/>
        <v>0.877949099015419</v>
      </c>
      <c r="E53" s="49">
        <f t="shared" si="15"/>
        <v>0.8873262603832552</v>
      </c>
      <c r="F53" s="31">
        <f t="shared" si="15"/>
        <v>0.9401362169912774</v>
      </c>
      <c r="G53" s="32">
        <f t="shared" si="15"/>
        <v>0.771089327626674</v>
      </c>
      <c r="H53" s="31">
        <f t="shared" si="15"/>
        <v>1.1351439790575917</v>
      </c>
      <c r="I53" s="31">
        <f t="shared" si="15"/>
        <v>1.2911047128352782</v>
      </c>
      <c r="J53" s="33">
        <f t="shared" si="15"/>
        <v>1.1792269488231484</v>
      </c>
      <c r="K53" s="31">
        <f t="shared" si="15"/>
        <v>1.1899171270718232</v>
      </c>
      <c r="L53" s="31">
        <f t="shared" si="15"/>
        <v>0.7656532327755519</v>
      </c>
    </row>
    <row r="54" spans="1:10" ht="11.25">
      <c r="A54" s="9" t="s">
        <v>47</v>
      </c>
      <c r="G54" s="46"/>
      <c r="H54" s="24"/>
      <c r="I54" s="24"/>
      <c r="J54" s="47"/>
    </row>
    <row r="55" spans="1:12" ht="11.25">
      <c r="A55" s="1" t="s">
        <v>48</v>
      </c>
      <c r="B55" s="24"/>
      <c r="C55" s="39">
        <f>C40/C28</f>
        <v>0.0412100777371921</v>
      </c>
      <c r="D55" s="39">
        <f>(D40/0.75)/D28</f>
        <v>0.016804645990362042</v>
      </c>
      <c r="E55" s="27">
        <f>(E40/0.5)/E28</f>
        <v>0.029166114278138672</v>
      </c>
      <c r="F55" s="27">
        <f>((F40)/0.25)/F28</f>
        <v>0.09230351567802361</v>
      </c>
      <c r="G55" s="41">
        <f>G40/G28</f>
        <v>0.035483870967741936</v>
      </c>
      <c r="H55" s="39">
        <f>(H40/0.75)/H28</f>
        <v>0.014658726523133303</v>
      </c>
      <c r="I55" s="39">
        <f>(I40/0.5)/I28</f>
        <v>-0.018043025676613464</v>
      </c>
      <c r="J55" s="30">
        <f>((J40)/0.25)/J28</f>
        <v>-0.01735828586927041</v>
      </c>
      <c r="K55" s="27">
        <f>K40/K28</f>
        <v>0.060618772941793395</v>
      </c>
      <c r="L55" s="27">
        <f>L40/L28</f>
        <v>0.04079592040795921</v>
      </c>
    </row>
    <row r="56" spans="1:12" ht="11.25">
      <c r="A56" s="1" t="s">
        <v>49</v>
      </c>
      <c r="B56" s="24"/>
      <c r="C56" s="39">
        <f>C40/C27</f>
        <v>0.012041927803169216</v>
      </c>
      <c r="D56" s="39">
        <f>(D40/0.75)/D27</f>
        <v>0.004456240374848455</v>
      </c>
      <c r="E56" s="27">
        <f>(E40/0.5)/E27</f>
        <v>0.007515457930516175</v>
      </c>
      <c r="F56" s="27">
        <f>((F40)/0.25)/F27</f>
        <v>0.030608570399711918</v>
      </c>
      <c r="G56" s="41">
        <f>G40/G27</f>
        <v>0.014710096475308052</v>
      </c>
      <c r="H56" s="39">
        <f>(H40/0.75)/H27</f>
        <v>0.0041508128675198895</v>
      </c>
      <c r="I56" s="39">
        <f>(I40/0.5)/I27</f>
        <v>-0.004973934669281171</v>
      </c>
      <c r="J56" s="30">
        <f>((J40)/0.25)/J27</f>
        <v>-0.004814745157043446</v>
      </c>
      <c r="K56" s="27">
        <f>K40/K27</f>
        <v>0.020984606447865234</v>
      </c>
      <c r="L56" s="27">
        <f>L40/L27</f>
        <v>0.010180402724754846</v>
      </c>
    </row>
    <row r="57" spans="1:12" ht="11.25">
      <c r="A57" s="1" t="s">
        <v>50</v>
      </c>
      <c r="B57" s="24"/>
      <c r="C57" s="39">
        <f>+C40/C31</f>
        <v>0.05377001099841134</v>
      </c>
      <c r="D57" s="39">
        <f>(D40/0.75)/D31</f>
        <v>0.017223910840932118</v>
      </c>
      <c r="E57" s="27">
        <f>(E40/0.5)/E31</f>
        <v>0.02806480418420717</v>
      </c>
      <c r="F57" s="27">
        <f>((F40)/0.25)/F31</f>
        <v>0.08208594881699662</v>
      </c>
      <c r="G57" s="41">
        <f>+G40/G31</f>
        <v>0.03672787979966611</v>
      </c>
      <c r="H57" s="39">
        <f>(H40/0.75)/H31</f>
        <v>0.011435378201310303</v>
      </c>
      <c r="I57" s="39">
        <f>(I40/0.5)/I31</f>
        <v>-0.012618296529968454</v>
      </c>
      <c r="J57" s="30">
        <f>((J40)/0.25)/J31</f>
        <v>-0.01563836285888821</v>
      </c>
      <c r="K57" s="27">
        <f>K40/K31</f>
        <v>0.070789957134109</v>
      </c>
      <c r="L57" s="27">
        <f>L40/L31</f>
        <v>0.051547694251421354</v>
      </c>
    </row>
    <row r="58" spans="1:12" ht="11.25">
      <c r="A58" s="1" t="s">
        <v>51</v>
      </c>
      <c r="B58" s="24"/>
      <c r="C58" s="39">
        <f>C33/C28</f>
        <v>0.21035871499484873</v>
      </c>
      <c r="D58" s="39">
        <f>(D33/0.75)/D28</f>
        <v>0.2622842785946703</v>
      </c>
      <c r="E58" s="27">
        <f>(E33/0.5)/E28</f>
        <v>0.2890096778470105</v>
      </c>
      <c r="F58" s="27">
        <f>((F33)/0.25)/F28</f>
        <v>0.34423781729333514</v>
      </c>
      <c r="G58" s="41">
        <f>G33/G28</f>
        <v>0.22972350230414745</v>
      </c>
      <c r="H58" s="39">
        <f>(H33/0.75)/H28</f>
        <v>0.28014455133099203</v>
      </c>
      <c r="I58" s="39">
        <f>(I33/0.5)/I28</f>
        <v>0.2741151977793199</v>
      </c>
      <c r="J58" s="30">
        <f>((J33)/0.25)/J28</f>
        <v>0.21806346623270953</v>
      </c>
      <c r="K58" s="27">
        <f>K33/K28</f>
        <v>0.3049816465652858</v>
      </c>
      <c r="L58" s="27">
        <f>L33/L27</f>
        <v>0.097262769169349</v>
      </c>
    </row>
    <row r="59" spans="1:12" ht="11.25">
      <c r="A59" s="1" t="s">
        <v>52</v>
      </c>
      <c r="B59" s="24"/>
      <c r="C59" s="39">
        <f>C34/C28</f>
        <v>0.18881708345040743</v>
      </c>
      <c r="D59" s="39">
        <f>(D34/0.75)/D28</f>
        <v>0.2322995181020635</v>
      </c>
      <c r="E59" s="27">
        <f>(E34/0.5)/E28</f>
        <v>0.2073445578682222</v>
      </c>
      <c r="F59" s="27">
        <f>((F34)/0.25)/F28</f>
        <v>0.19980996335007467</v>
      </c>
      <c r="G59" s="41">
        <f>G34/G28</f>
        <v>0.14493087557603687</v>
      </c>
      <c r="H59" s="39">
        <f>(H34/0.75)/H28</f>
        <v>0.18486282893062556</v>
      </c>
      <c r="I59" s="39">
        <f>(I34/0.5)/I28</f>
        <v>0.1582234559333796</v>
      </c>
      <c r="J59" s="30">
        <f>((J34)/0.25)/J28</f>
        <v>0.11608353675074587</v>
      </c>
      <c r="K59" s="27">
        <f>K34/K28</f>
        <v>0.09061352910330361</v>
      </c>
      <c r="L59" s="27">
        <f>L34/L27</f>
        <v>0.08957756319085759</v>
      </c>
    </row>
    <row r="60" spans="1:12" ht="11.25">
      <c r="A60" s="1" t="s">
        <v>53</v>
      </c>
      <c r="B60" s="24"/>
      <c r="C60" s="39">
        <f>C35/C28</f>
        <v>0.021541631544441324</v>
      </c>
      <c r="D60" s="39">
        <f>(D35/0.75)/D28</f>
        <v>0.029984760492606777</v>
      </c>
      <c r="E60" s="27">
        <f>(E35/0.5)/E28</f>
        <v>0.08166511997878828</v>
      </c>
      <c r="F60" s="27">
        <f>((F35)/0.25)/F28</f>
        <v>0.1444278539432605</v>
      </c>
      <c r="G60" s="41">
        <f>G35/G28</f>
        <v>0.0847926267281106</v>
      </c>
      <c r="H60" s="39">
        <f>(H35/0.75)/H28</f>
        <v>0.09528172240036646</v>
      </c>
      <c r="I60" s="39">
        <f>(I35/0.5)/I28</f>
        <v>0.11589174184594032</v>
      </c>
      <c r="J60" s="30">
        <f>((J35)/0.25)/J28</f>
        <v>0.10197992948196366</v>
      </c>
      <c r="K60" s="27">
        <f>K35/K28</f>
        <v>0.21436811746198217</v>
      </c>
      <c r="L60" s="27">
        <f>L35/L27</f>
        <v>0.007685205978491404</v>
      </c>
    </row>
    <row r="61" spans="1:12" ht="11.25">
      <c r="A61" s="1" t="s">
        <v>54</v>
      </c>
      <c r="B61" s="24"/>
      <c r="C61" s="39">
        <f>C38/C37</f>
        <v>0.6551724137931034</v>
      </c>
      <c r="D61" s="39">
        <f>(D38/0.75)/(D37/0.75)</f>
        <v>0.8559322033898306</v>
      </c>
      <c r="E61" s="27">
        <f>(E38/0.5)/(E37/0.5)</f>
        <v>0.7954545454545454</v>
      </c>
      <c r="F61" s="27">
        <f>(F38/0.25)/(F37/0.25)</f>
        <v>0.5893719806763285</v>
      </c>
      <c r="G61" s="41">
        <f>G38/G37</f>
        <v>0.7840112201963534</v>
      </c>
      <c r="H61" s="39">
        <f>(H38/0.75)/(H37/0.75)</f>
        <v>0.9176201372997712</v>
      </c>
      <c r="I61" s="39">
        <f>(I38/0.5)/(I37/0.5)</f>
        <v>1.146067415730337</v>
      </c>
      <c r="J61" s="30">
        <f>(J38/0.25)/(J37/0.25)</f>
        <v>1.1568627450980393</v>
      </c>
      <c r="K61" s="27">
        <f>K38/K37</f>
        <v>0.4003623188405797</v>
      </c>
      <c r="L61" s="27">
        <f>L38/L37</f>
        <v>1.9903381642512077</v>
      </c>
    </row>
    <row r="62" spans="1:12" ht="11.25">
      <c r="A62" s="2" t="s">
        <v>55</v>
      </c>
      <c r="B62" s="2"/>
      <c r="C62" s="43">
        <f>C36/C28</f>
        <v>0.09796759389341575</v>
      </c>
      <c r="D62" s="43">
        <f>(D36/0.75)/D28</f>
        <v>0.08665925285225916</v>
      </c>
      <c r="E62" s="31">
        <f>(E36/0.5)/E28</f>
        <v>0.058332228556277343</v>
      </c>
      <c r="F62" s="31">
        <f>(F36/0.25)/F28</f>
        <v>0.0803583548255735</v>
      </c>
      <c r="G62" s="45">
        <f>G36/G28</f>
        <v>0.07949308755760369</v>
      </c>
      <c r="H62" s="43">
        <f>(H36/0.75)/H28</f>
        <v>0.08265893011655724</v>
      </c>
      <c r="I62" s="43">
        <f>(I36/0.5)/I28</f>
        <v>0.007633587786259542</v>
      </c>
      <c r="J62" s="33">
        <f>(J36/0.25)/J28</f>
        <v>0.008679142934635205</v>
      </c>
      <c r="K62" s="31">
        <f>K36/K28</f>
        <v>0.01719979024646041</v>
      </c>
      <c r="L62" s="31">
        <f>L36/L27</f>
        <v>0.0026449085510392495</v>
      </c>
    </row>
    <row r="63" spans="1:10" ht="11.25">
      <c r="A63" s="9" t="s">
        <v>56</v>
      </c>
      <c r="G63" s="46"/>
      <c r="H63" s="24"/>
      <c r="I63" s="24"/>
      <c r="J63" s="47"/>
    </row>
    <row r="64" spans="1:12" ht="11.25">
      <c r="A64" s="1" t="s">
        <v>57</v>
      </c>
      <c r="C64" s="1">
        <v>13</v>
      </c>
      <c r="D64" s="14">
        <v>12</v>
      </c>
      <c r="E64" s="14">
        <v>12</v>
      </c>
      <c r="F64" s="14">
        <v>11</v>
      </c>
      <c r="G64" s="15">
        <v>11</v>
      </c>
      <c r="H64" s="16">
        <v>11</v>
      </c>
      <c r="I64" s="16">
        <v>11</v>
      </c>
      <c r="J64" s="17">
        <v>13</v>
      </c>
      <c r="K64" s="14">
        <v>13</v>
      </c>
      <c r="L64" s="14">
        <v>13</v>
      </c>
    </row>
    <row r="65" spans="1:12" ht="11.25">
      <c r="A65" s="1" t="s">
        <v>58</v>
      </c>
      <c r="C65" s="1">
        <v>1</v>
      </c>
      <c r="D65" s="14">
        <v>1</v>
      </c>
      <c r="E65" s="14">
        <v>1</v>
      </c>
      <c r="F65" s="14">
        <v>1</v>
      </c>
      <c r="G65" s="15">
        <v>1</v>
      </c>
      <c r="H65" s="16">
        <v>1</v>
      </c>
      <c r="I65" s="16">
        <v>1</v>
      </c>
      <c r="J65" s="17">
        <v>1</v>
      </c>
      <c r="K65" s="14">
        <v>1</v>
      </c>
      <c r="L65" s="14">
        <v>1</v>
      </c>
    </row>
    <row r="66" spans="1:12" ht="11.25">
      <c r="A66" s="1" t="s">
        <v>59</v>
      </c>
      <c r="C66" s="14">
        <f aca="true" t="shared" si="16" ref="C66:L66">C13/C64</f>
        <v>385.15384615384613</v>
      </c>
      <c r="D66" s="14">
        <f t="shared" si="16"/>
        <v>425.4166666666667</v>
      </c>
      <c r="E66" s="14">
        <f t="shared" si="16"/>
        <v>447.5</v>
      </c>
      <c r="F66" s="14">
        <f t="shared" si="16"/>
        <v>427.09090909090907</v>
      </c>
      <c r="G66" s="15">
        <f t="shared" si="16"/>
        <v>515.4545454545455</v>
      </c>
      <c r="H66" s="16">
        <f t="shared" si="16"/>
        <v>271.6363636363636</v>
      </c>
      <c r="I66" s="16">
        <f t="shared" si="16"/>
        <v>197.54545454545453</v>
      </c>
      <c r="J66" s="17">
        <f t="shared" si="16"/>
        <v>205.30769230769232</v>
      </c>
      <c r="K66" s="14">
        <f t="shared" si="16"/>
        <v>226.92307692307693</v>
      </c>
      <c r="L66" s="14">
        <f t="shared" si="16"/>
        <v>497.3076923076923</v>
      </c>
    </row>
    <row r="67" spans="1:12" ht="11.25">
      <c r="A67" s="1" t="s">
        <v>60</v>
      </c>
      <c r="C67" s="14">
        <f aca="true" t="shared" si="17" ref="C67:L67">+C17/C64</f>
        <v>1408.6153846153845</v>
      </c>
      <c r="D67" s="14">
        <f t="shared" si="17"/>
        <v>897.1666666666666</v>
      </c>
      <c r="E67" s="14">
        <f t="shared" si="17"/>
        <v>1013.25</v>
      </c>
      <c r="F67" s="14">
        <f t="shared" si="17"/>
        <v>760.8181818181819</v>
      </c>
      <c r="G67" s="15">
        <f t="shared" si="17"/>
        <v>658.4545454545455</v>
      </c>
      <c r="H67" s="16">
        <f t="shared" si="17"/>
        <v>833.4545454545455</v>
      </c>
      <c r="I67" s="16">
        <f t="shared" si="17"/>
        <v>599.9090909090909</v>
      </c>
      <c r="J67" s="17">
        <f t="shared" si="17"/>
        <v>356.2307692307692</v>
      </c>
      <c r="K67" s="14">
        <f t="shared" si="17"/>
        <v>334.15384615384613</v>
      </c>
      <c r="L67" s="14">
        <f t="shared" si="17"/>
        <v>979.1538461538462</v>
      </c>
    </row>
    <row r="68" spans="1:12" ht="11.25">
      <c r="A68" s="2" t="s">
        <v>61</v>
      </c>
      <c r="B68" s="2"/>
      <c r="C68" s="20">
        <f aca="true" t="shared" si="18" ref="C68:L68">+C40/C64</f>
        <v>16.923076923076923</v>
      </c>
      <c r="D68" s="20">
        <f t="shared" si="18"/>
        <v>4.25</v>
      </c>
      <c r="E68" s="20">
        <f t="shared" si="18"/>
        <v>4.583333333333333</v>
      </c>
      <c r="F68" s="20">
        <f t="shared" si="18"/>
        <v>7.7272727272727275</v>
      </c>
      <c r="G68" s="21">
        <f t="shared" si="18"/>
        <v>14</v>
      </c>
      <c r="H68" s="20">
        <f t="shared" si="18"/>
        <v>3.272727272727273</v>
      </c>
      <c r="I68" s="20">
        <f t="shared" si="18"/>
        <v>-2.3636363636363638</v>
      </c>
      <c r="J68" s="22">
        <f t="shared" si="18"/>
        <v>-1.2307692307692308</v>
      </c>
      <c r="K68" s="20">
        <f t="shared" si="18"/>
        <v>22.23076923076923</v>
      </c>
      <c r="L68" s="20">
        <f t="shared" si="18"/>
        <v>15.692307692307692</v>
      </c>
    </row>
    <row r="69" spans="1:10" ht="11.25">
      <c r="A69" s="9" t="s">
        <v>62</v>
      </c>
      <c r="G69" s="46"/>
      <c r="H69" s="24"/>
      <c r="I69" s="24"/>
      <c r="J69" s="47"/>
    </row>
    <row r="70" spans="1:12" ht="11.25">
      <c r="A70" s="1" t="s">
        <v>63</v>
      </c>
      <c r="C70" s="27">
        <f>(C11/G11)-1</f>
        <v>1.080600286653739</v>
      </c>
      <c r="D70" s="27">
        <f>(D11/H11)-1</f>
        <v>0.17868360936607663</v>
      </c>
      <c r="E70" s="27">
        <f>(E11/I11)-1</f>
        <v>0.526365754725123</v>
      </c>
      <c r="F70" s="27">
        <f>+(F11/J11)-1</f>
        <v>0.4518265092153184</v>
      </c>
      <c r="G70" s="29">
        <f>+(G11/K11)-1</f>
        <v>0.30670926517571884</v>
      </c>
      <c r="H70" s="28">
        <f>+(H11/9120)-1</f>
        <v>0.5359649122807018</v>
      </c>
      <c r="I70" s="28">
        <f>+(I11/9322)-1</f>
        <v>0.24297361081313018</v>
      </c>
      <c r="J70" s="30">
        <f>+(J11/17524)-1</f>
        <v>-0.48293768545994065</v>
      </c>
      <c r="K70" s="27">
        <f>+(K11/L11)-1</f>
        <v>-0.5084745762711864</v>
      </c>
      <c r="L70" s="27">
        <f>+(L11/21610)-1</f>
        <v>-0.1454419250347062</v>
      </c>
    </row>
    <row r="71" spans="1:12" ht="11.25">
      <c r="A71" s="1" t="s">
        <v>64</v>
      </c>
      <c r="C71" s="27">
        <f>(C13/G13)-1</f>
        <v>-0.11693121693121689</v>
      </c>
      <c r="D71" s="27">
        <f>(D13/H13)-1</f>
        <v>0.7085006693440428</v>
      </c>
      <c r="E71" s="27">
        <f>(E13/I13)-1</f>
        <v>1.4712379199263692</v>
      </c>
      <c r="F71" s="27">
        <f aca="true" t="shared" si="19" ref="F71:L71">SUM(F72:F73)</f>
        <v>0.7602098164106408</v>
      </c>
      <c r="G71" s="29">
        <f t="shared" si="19"/>
        <v>0.9220338983050846</v>
      </c>
      <c r="H71" s="28">
        <f t="shared" si="19"/>
        <v>-0.14652956298200515</v>
      </c>
      <c r="I71" s="28">
        <f t="shared" si="19"/>
        <v>-0.38459359954687056</v>
      </c>
      <c r="J71" s="30">
        <f t="shared" si="19"/>
        <v>-0.4254036598493003</v>
      </c>
      <c r="K71" s="27">
        <f t="shared" si="19"/>
        <v>-0.5436968290796598</v>
      </c>
      <c r="L71" s="27">
        <f t="shared" si="19"/>
        <v>1.2876857749469215</v>
      </c>
    </row>
    <row r="72" spans="2:12" ht="11.25">
      <c r="B72" s="1" t="s">
        <v>15</v>
      </c>
      <c r="C72" s="27">
        <v>0</v>
      </c>
      <c r="D72" s="27">
        <v>0</v>
      </c>
      <c r="E72" s="27">
        <v>0</v>
      </c>
      <c r="F72" s="27">
        <v>0</v>
      </c>
      <c r="G72" s="29">
        <v>0</v>
      </c>
      <c r="H72" s="28">
        <v>0</v>
      </c>
      <c r="I72" s="28">
        <v>0</v>
      </c>
      <c r="J72" s="30">
        <v>0</v>
      </c>
      <c r="K72" s="27">
        <v>0</v>
      </c>
      <c r="L72" s="27">
        <v>0</v>
      </c>
    </row>
    <row r="73" spans="2:12" ht="11.25">
      <c r="B73" s="1" t="s">
        <v>16</v>
      </c>
      <c r="C73" s="27">
        <f>(C15/G15)-1</f>
        <v>-0.11693121693121689</v>
      </c>
      <c r="D73" s="27">
        <f>(D15/H15)-1</f>
        <v>0.7085006693440428</v>
      </c>
      <c r="E73" s="27">
        <f>(E15/I15)-1</f>
        <v>1.4712379199263692</v>
      </c>
      <c r="F73" s="27">
        <f>+(F15/J15)-1</f>
        <v>0.7602098164106408</v>
      </c>
      <c r="G73" s="29">
        <f>+(G15/K15)-1</f>
        <v>0.9220338983050846</v>
      </c>
      <c r="H73" s="28">
        <f>+(H15/3501)-1</f>
        <v>-0.14652956298200515</v>
      </c>
      <c r="I73" s="28">
        <f>+(I15/3531)-1</f>
        <v>-0.38459359954687056</v>
      </c>
      <c r="J73" s="30">
        <f>+(J15/4645)-1</f>
        <v>-0.4254036598493003</v>
      </c>
      <c r="K73" s="27">
        <f>+(K15/L15)-1</f>
        <v>-0.5436968290796598</v>
      </c>
      <c r="L73" s="27">
        <f>+(L15/2826)-1</f>
        <v>1.2876857749469215</v>
      </c>
    </row>
    <row r="74" spans="1:12" ht="11.25">
      <c r="A74" s="1" t="s">
        <v>65</v>
      </c>
      <c r="C74" s="27">
        <f>(C17/G17)-1</f>
        <v>1.5282341571172164</v>
      </c>
      <c r="D74" s="27">
        <f>(D17/H17)-1</f>
        <v>0.1743019197207678</v>
      </c>
      <c r="E74" s="27">
        <f>(E17/I17)-1</f>
        <v>0.8425519018033036</v>
      </c>
      <c r="F74" s="27">
        <f aca="true" t="shared" si="20" ref="F74:L74">SUM(F75:F76)</f>
        <v>0.8071690779529259</v>
      </c>
      <c r="G74" s="29">
        <f t="shared" si="20"/>
        <v>0.6673572744014733</v>
      </c>
      <c r="H74" s="28">
        <f t="shared" si="20"/>
        <v>0.9518841813923782</v>
      </c>
      <c r="I74" s="28">
        <f t="shared" si="20"/>
        <v>0.338811117873808</v>
      </c>
      <c r="J74" s="30">
        <f t="shared" si="20"/>
        <v>-0.5958635133955843</v>
      </c>
      <c r="K74" s="27">
        <f t="shared" si="20"/>
        <v>-0.6587320292246053</v>
      </c>
      <c r="L74" s="27">
        <f t="shared" si="20"/>
        <v>-0.27610327570518656</v>
      </c>
    </row>
    <row r="75" spans="2:12" ht="11.25">
      <c r="B75" s="1" t="s">
        <v>15</v>
      </c>
      <c r="C75" s="27">
        <v>0</v>
      </c>
      <c r="D75" s="27">
        <v>0</v>
      </c>
      <c r="E75" s="27">
        <v>0</v>
      </c>
      <c r="F75" s="27">
        <v>0</v>
      </c>
      <c r="G75" s="29">
        <v>0</v>
      </c>
      <c r="H75" s="28">
        <v>0</v>
      </c>
      <c r="I75" s="28">
        <v>0</v>
      </c>
      <c r="J75" s="30">
        <v>0</v>
      </c>
      <c r="K75" s="27">
        <v>0</v>
      </c>
      <c r="L75" s="27">
        <v>0</v>
      </c>
    </row>
    <row r="76" spans="2:12" ht="11.25">
      <c r="B76" s="1" t="s">
        <v>16</v>
      </c>
      <c r="C76" s="27">
        <f>(C22/G22)-1</f>
        <v>1.5282341571172164</v>
      </c>
      <c r="D76" s="27">
        <f>(D22/H22)-1</f>
        <v>0.1743019197207678</v>
      </c>
      <c r="E76" s="27">
        <f>(E22/I22)-1</f>
        <v>0.8425519018033036</v>
      </c>
      <c r="F76" s="27">
        <f>+(F22/J22)-1</f>
        <v>0.8071690779529259</v>
      </c>
      <c r="G76" s="29">
        <f>+(G22/K22)-1</f>
        <v>0.6673572744014733</v>
      </c>
      <c r="H76" s="28">
        <f>+(H22/4697)-1</f>
        <v>0.9518841813923782</v>
      </c>
      <c r="I76" s="28">
        <f>+(I22/4929)-1</f>
        <v>0.338811117873808</v>
      </c>
      <c r="J76" s="30">
        <f>+(J22/11459)-1</f>
        <v>-0.5958635133955843</v>
      </c>
      <c r="K76" s="27">
        <f>+(K22/L22)-1</f>
        <v>-0.6587320292246053</v>
      </c>
      <c r="L76" s="27">
        <f>+(L22/17584)-1</f>
        <v>-0.27610327570518656</v>
      </c>
    </row>
    <row r="77" spans="1:12" ht="11.25">
      <c r="A77" s="1" t="s">
        <v>22</v>
      </c>
      <c r="C77" s="27">
        <f>(C25/G25)-1</f>
        <v>-0.07910798122065732</v>
      </c>
      <c r="D77" s="27">
        <f>(D25/H25)-1</f>
        <v>-0.09321419946872733</v>
      </c>
      <c r="E77" s="27">
        <f>(E25/I25)-1</f>
        <v>-0.07867647058823535</v>
      </c>
      <c r="F77" s="28">
        <f>+(F25/J25)-1</f>
        <v>0.025427872860635636</v>
      </c>
      <c r="G77" s="29">
        <f>+(G25/K25)-1</f>
        <v>0.0324769752787204</v>
      </c>
      <c r="H77" s="28">
        <f>+(H25/4254)-1</f>
        <v>-0.026563234602726804</v>
      </c>
      <c r="I77" s="28">
        <f>+(I25/4162)-1</f>
        <v>-0.01970206631427196</v>
      </c>
      <c r="J77" s="30">
        <f>+(J25/4095)-1</f>
        <v>-0.0012210012210012167</v>
      </c>
      <c r="K77" s="28">
        <f>+(K25/L25)-1</f>
        <v>0.021539985144837903</v>
      </c>
      <c r="L77" s="27">
        <f>+(L25/3876)-1</f>
        <v>0.0420536635706914</v>
      </c>
    </row>
    <row r="78" spans="1:12" ht="11.25">
      <c r="A78" s="2" t="s">
        <v>66</v>
      </c>
      <c r="B78" s="2"/>
      <c r="C78" s="31">
        <f>(C40/G40)-1</f>
        <v>0.4285714285714286</v>
      </c>
      <c r="D78" s="31">
        <f>(D40/H40)-1</f>
        <v>0.41666666666666674</v>
      </c>
      <c r="E78" s="31">
        <f>(E40/I40)-1</f>
        <v>-3.1153846153846154</v>
      </c>
      <c r="F78" s="31">
        <f>+(F40/J40)-1</f>
        <v>-6.3125</v>
      </c>
      <c r="G78" s="32">
        <f>+(G40/K40)-1</f>
        <v>-0.46712802768166095</v>
      </c>
      <c r="H78" s="31">
        <f>+(H40/212)-1</f>
        <v>-0.8301886792452831</v>
      </c>
      <c r="I78" s="31">
        <f>+(I40/122)-1</f>
        <v>-1.2131147540983607</v>
      </c>
      <c r="J78" s="33">
        <f>+(J40/57)-1</f>
        <v>-1.280701754385965</v>
      </c>
      <c r="K78" s="31">
        <f>+(K40/L40)-1</f>
        <v>0.41666666666666674</v>
      </c>
      <c r="L78" s="31">
        <f>+(L40/712)-1</f>
        <v>-0.7134831460674158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305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2002-03-22T15:35:41Z</cp:lastPrinted>
  <dcterms:created xsi:type="dcterms:W3CDTF">2002-03-19T18:31:34Z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