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CT PANAMA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<sst xmlns="http://schemas.openxmlformats.org/spreadsheetml/2006/main" count="86" uniqueCount="70">
  <si>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CUADRO No. 19-25</t>
  </si>
  <si>
    <t>BCT BANK PANAMA (1)</t>
  </si>
  <si>
    <t>ESTADISTICA FINANCIERA. AÑOS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</si>
  <si>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</si>
  <si>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</si>
  <si>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</si>
  <si>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</si>
  <si>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</si>
  <si>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</si>
  <si>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</si>
  <si>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</si>
  <si>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</si>
  <si>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</si>
  <si>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</si>
  <si>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</si>
  <si>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</si>
  <si>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</si>
  <si>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</si>
  <si>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</si>
  <si>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</si>
  <si>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</si>
  <si>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</si>
  <si>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</si>
  <si>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</si>
  <si>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</si>
  <si>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</si>
  <si>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</si>
  <si>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</si>
  <si>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</si>
  <si>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</si>
  <si>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</si>
  <si>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</si>
  <si>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</si>
  <si>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</si>
  <si>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</si>
  <si>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</si>
  <si>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</si>
  <si>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</si>
  <si>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</si>
  <si>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</si>
  <si>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</si>
  <si>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Total de Préstamos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</si>
  <si>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</si>
  <si>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</si>
  <si>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</si>
  <si>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</si>
  <si>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</si>
  <si>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</si>
  <si>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</si>
  <si>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</si>
  <si>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</si>
  <si>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</si>
  <si>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</si>
  <si>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</si>
  <si>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</si>
  <si>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</si>
  <si>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</si>
  <si>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</si>
  <si>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</si>
  <si>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</si>
  <si>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</si>
  <si>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</si>
  <si>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</si>
  <si>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</si>
  <si>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</si>
  <si>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</si>
  <si>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</si>
  <si>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</si>
  <si>
    <t>Nota:</t>
  </si>
  <si>
    <t>(1) Antes Commerce Overseas Bank, S.A.</t>
  </si>
</sst>
</file>

<file path=xl/styles.xml><?xml version="1.0" encoding="utf-8"?>
<styleSheet xmlns="http://schemas.openxmlformats.org/spreadsheetml/2006/main">
  <numFmts count="3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  <numFmt numFmtId="192" formatCode="_(* #,##0.00000_);_(* \(#,##0.000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179" fontId="1" fillId="0" borderId="6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7" xfId="15" applyNumberFormat="1" applyFont="1" applyBorder="1" applyAlignment="1">
      <alignment/>
    </xf>
    <xf numFmtId="179" fontId="1" fillId="0" borderId="0" xfId="15" applyNumberFormat="1" applyFont="1" applyAlignment="1">
      <alignment/>
    </xf>
    <xf numFmtId="179" fontId="2" fillId="0" borderId="0" xfId="15" applyNumberFormat="1" applyFont="1" applyAlignment="1">
      <alignment/>
    </xf>
    <xf numFmtId="179" fontId="2" fillId="0" borderId="6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7" xfId="15" applyNumberFormat="1" applyFont="1" applyBorder="1" applyAlignment="1">
      <alignment/>
    </xf>
    <xf numFmtId="43" fontId="2" fillId="0" borderId="0" xfId="15" applyFont="1" applyAlignment="1">
      <alignment/>
    </xf>
    <xf numFmtId="179" fontId="2" fillId="0" borderId="0" xfId="15" applyNumberFormat="1" applyFont="1" applyFill="1" applyAlignment="1">
      <alignment/>
    </xf>
    <xf numFmtId="179" fontId="2" fillId="0" borderId="1" xfId="15" applyNumberFormat="1" applyFont="1" applyBorder="1" applyAlignment="1">
      <alignment/>
    </xf>
    <xf numFmtId="179" fontId="2" fillId="0" borderId="8" xfId="15" applyNumberFormat="1" applyFont="1" applyBorder="1" applyAlignment="1">
      <alignment/>
    </xf>
    <xf numFmtId="179" fontId="2" fillId="0" borderId="9" xfId="15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0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8" xfId="19" applyNumberFormat="1" applyFont="1" applyBorder="1" applyAlignment="1">
      <alignment/>
    </xf>
    <xf numFmtId="10" fontId="2" fillId="0" borderId="9" xfId="19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7" xfId="19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9" xfId="19" applyNumberFormat="1" applyFont="1" applyFill="1" applyBorder="1" applyAlignment="1">
      <alignment/>
    </xf>
    <xf numFmtId="182" fontId="2" fillId="0" borderId="0" xfId="19" applyNumberFormat="1" applyFont="1" applyAlignment="1">
      <alignment/>
    </xf>
    <xf numFmtId="182" fontId="2" fillId="0" borderId="1" xfId="19" applyNumberFormat="1" applyFont="1" applyBorder="1" applyAlignment="1">
      <alignment/>
    </xf>
    <xf numFmtId="10" fontId="2" fillId="0" borderId="6" xfId="19" applyNumberFormat="1" applyFont="1" applyFill="1" applyBorder="1" applyAlignment="1">
      <alignment/>
    </xf>
    <xf numFmtId="10" fontId="2" fillId="0" borderId="8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0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8" sqref="B18"/>
    </sheetView>
  </sheetViews>
  <sheetFormatPr defaultColWidth="11.421875" defaultRowHeight="12.75"/>
  <cols>
    <col min="1" max="1" width="3.421875" style="1" customWidth="1"/>
    <col min="2" max="2" width="38.8515625" style="1" customWidth="1"/>
    <col min="3" max="3" width="7.7109375" style="1" bestFit="1" customWidth="1"/>
    <col min="4" max="4" width="8.7109375" style="1" bestFit="1" customWidth="1"/>
    <col min="5" max="7" width="7.7109375" style="1" bestFit="1" customWidth="1"/>
    <col min="8" max="8" width="8.7109375" style="1" bestFit="1" customWidth="1"/>
    <col min="9" max="11" width="7.7109375" style="1" bestFit="1" customWidth="1"/>
    <col min="12" max="12" width="6.57421875" style="1" hidden="1" customWidth="1"/>
    <col min="13" max="16384" width="11.421875" style="1" customWidth="1"/>
  </cols>
  <sheetData>
    <row r="1" ht="11.25"/>
    <row r="2" spans="2:12" ht="11.25">
      <c r="B2" s="50"/>
      <c r="C2" s="50"/>
      <c r="D2" s="50"/>
      <c r="E2" s="50"/>
      <c r="F2" s="50"/>
      <c r="G2" s="50" t="s">
        <v>0</v>
      </c>
      <c r="H2" s="50"/>
      <c r="I2" s="50"/>
      <c r="J2" s="50"/>
      <c r="K2" s="50"/>
      <c r="L2" s="50"/>
    </row>
    <row r="3" spans="2:12" ht="11.25">
      <c r="B3" s="50"/>
      <c r="C3" s="50"/>
      <c r="D3" s="50"/>
      <c r="E3" s="50"/>
      <c r="F3" s="50"/>
      <c r="G3" s="50" t="s">
        <v>1</v>
      </c>
      <c r="H3" s="50"/>
      <c r="I3" s="50"/>
      <c r="J3" s="50"/>
      <c r="K3" s="50"/>
      <c r="L3" s="50"/>
    </row>
    <row r="4" spans="2:12" ht="11.25">
      <c r="B4" s="50"/>
      <c r="C4" s="50"/>
      <c r="D4" s="50"/>
      <c r="E4" s="50"/>
      <c r="F4" s="50"/>
      <c r="G4" s="50" t="s">
        <v>2</v>
      </c>
      <c r="H4" s="50"/>
      <c r="I4" s="50"/>
      <c r="J4" s="50"/>
      <c r="K4" s="50"/>
      <c r="L4" s="50"/>
    </row>
    <row r="5" spans="2:12" ht="11.25">
      <c r="B5" s="49"/>
      <c r="C5" s="49"/>
      <c r="D5" s="49"/>
      <c r="E5" s="49"/>
      <c r="F5" s="49"/>
      <c r="G5" s="49" t="s">
        <v>3</v>
      </c>
      <c r="H5" s="49"/>
      <c r="I5" s="49"/>
      <c r="J5" s="49"/>
      <c r="K5" s="49"/>
      <c r="L5" s="49"/>
    </row>
    <row r="6" spans="1:12" ht="11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1.25">
      <c r="A7" s="3"/>
      <c r="B7" s="3"/>
      <c r="C7" s="52">
        <v>2001</v>
      </c>
      <c r="D7" s="52"/>
      <c r="E7" s="52"/>
      <c r="F7" s="53"/>
      <c r="G7" s="51">
        <v>2000</v>
      </c>
      <c r="H7" s="52"/>
      <c r="I7" s="52"/>
      <c r="J7" s="53"/>
      <c r="K7" s="52" t="s">
        <v>4</v>
      </c>
      <c r="L7" s="52"/>
    </row>
    <row r="8" spans="1:12" ht="11.25">
      <c r="A8" s="4"/>
      <c r="B8" s="4"/>
      <c r="C8" s="5" t="s">
        <v>5</v>
      </c>
      <c r="D8" s="5" t="s">
        <v>6</v>
      </c>
      <c r="E8" s="4" t="s">
        <v>7</v>
      </c>
      <c r="F8" s="4" t="s">
        <v>8</v>
      </c>
      <c r="G8" s="6" t="s">
        <v>5</v>
      </c>
      <c r="H8" s="5" t="s">
        <v>6</v>
      </c>
      <c r="I8" s="5" t="s">
        <v>7</v>
      </c>
      <c r="J8" s="7" t="s">
        <v>8</v>
      </c>
      <c r="K8" s="8" t="s">
        <v>9</v>
      </c>
      <c r="L8" s="8" t="s">
        <v>10</v>
      </c>
    </row>
    <row r="9" spans="1:12" ht="11.25">
      <c r="A9" s="9" t="s">
        <v>11</v>
      </c>
      <c r="B9" s="9"/>
      <c r="C9" s="9"/>
      <c r="D9" s="9"/>
      <c r="E9" s="9"/>
      <c r="F9" s="9"/>
      <c r="G9" s="10"/>
      <c r="H9" s="11"/>
      <c r="I9" s="11"/>
      <c r="J9" s="12"/>
      <c r="K9" s="13"/>
      <c r="L9" s="13"/>
    </row>
    <row r="10" spans="1:12" ht="11.25">
      <c r="A10" s="1" t="s">
        <v>12</v>
      </c>
      <c r="C10" s="14">
        <v>165986</v>
      </c>
      <c r="D10" s="14">
        <v>141078</v>
      </c>
      <c r="E10" s="14">
        <v>148585</v>
      </c>
      <c r="F10" s="14">
        <v>145391</v>
      </c>
      <c r="G10" s="15">
        <v>152085</v>
      </c>
      <c r="H10" s="16">
        <v>167296</v>
      </c>
      <c r="I10" s="16">
        <v>172674</v>
      </c>
      <c r="J10" s="17">
        <v>181544</v>
      </c>
      <c r="K10" s="14">
        <v>184329</v>
      </c>
      <c r="L10" s="14">
        <v>182753</v>
      </c>
    </row>
    <row r="11" spans="1:12" ht="11.25">
      <c r="A11" s="1" t="s">
        <v>13</v>
      </c>
      <c r="C11" s="14">
        <v>4053</v>
      </c>
      <c r="D11" s="14">
        <v>5084</v>
      </c>
      <c r="E11" s="14">
        <v>18423</v>
      </c>
      <c r="F11" s="14">
        <v>9933</v>
      </c>
      <c r="G11" s="15">
        <v>4780</v>
      </c>
      <c r="H11" s="16">
        <v>9498</v>
      </c>
      <c r="I11" s="16">
        <v>12537</v>
      </c>
      <c r="J11" s="17">
        <v>7955</v>
      </c>
      <c r="K11" s="14">
        <v>4450</v>
      </c>
      <c r="L11" s="14">
        <v>6908</v>
      </c>
    </row>
    <row r="12" spans="1:12" ht="11.25">
      <c r="A12" s="1" t="s">
        <v>14</v>
      </c>
      <c r="C12" s="14">
        <f aca="true" t="shared" si="0" ref="C12:L12">C13+C14</f>
        <v>155782</v>
      </c>
      <c r="D12" s="14">
        <f t="shared" si="0"/>
        <v>129460</v>
      </c>
      <c r="E12" s="14">
        <f t="shared" si="0"/>
        <v>123986</v>
      </c>
      <c r="F12" s="14">
        <f t="shared" si="0"/>
        <v>128485</v>
      </c>
      <c r="G12" s="15">
        <f t="shared" si="0"/>
        <v>139246</v>
      </c>
      <c r="H12" s="16">
        <f t="shared" si="0"/>
        <v>149382</v>
      </c>
      <c r="I12" s="16">
        <f t="shared" si="0"/>
        <v>151366</v>
      </c>
      <c r="J12" s="17">
        <f t="shared" si="0"/>
        <v>157781</v>
      </c>
      <c r="K12" s="14">
        <f t="shared" si="0"/>
        <v>164910</v>
      </c>
      <c r="L12" s="14">
        <f t="shared" si="0"/>
        <v>161693</v>
      </c>
    </row>
    <row r="13" spans="2:12" ht="11.25">
      <c r="B13" s="1" t="s">
        <v>15</v>
      </c>
      <c r="C13" s="18">
        <v>0</v>
      </c>
      <c r="D13" s="18">
        <v>0</v>
      </c>
      <c r="E13" s="14">
        <v>0</v>
      </c>
      <c r="F13" s="14">
        <v>0</v>
      </c>
      <c r="G13" s="15">
        <v>0</v>
      </c>
      <c r="H13" s="16">
        <v>0</v>
      </c>
      <c r="I13" s="16">
        <v>0</v>
      </c>
      <c r="J13" s="17">
        <v>0</v>
      </c>
      <c r="K13" s="14">
        <v>0</v>
      </c>
      <c r="L13" s="14">
        <v>0</v>
      </c>
    </row>
    <row r="14" spans="2:12" ht="11.25">
      <c r="B14" s="1" t="s">
        <v>16</v>
      </c>
      <c r="C14" s="14">
        <v>155782</v>
      </c>
      <c r="D14" s="14">
        <v>129460</v>
      </c>
      <c r="E14" s="14">
        <v>123986</v>
      </c>
      <c r="F14" s="14">
        <v>128485</v>
      </c>
      <c r="G14" s="15">
        <v>139246</v>
      </c>
      <c r="H14" s="16">
        <v>149382</v>
      </c>
      <c r="I14" s="16">
        <v>151366</v>
      </c>
      <c r="J14" s="17">
        <v>157781</v>
      </c>
      <c r="K14" s="14">
        <v>164910</v>
      </c>
      <c r="L14" s="14">
        <v>161693</v>
      </c>
    </row>
    <row r="15" spans="1:12" ht="11.25">
      <c r="A15" s="1" t="s">
        <v>17</v>
      </c>
      <c r="C15" s="14">
        <v>1483</v>
      </c>
      <c r="D15" s="14">
        <v>1482</v>
      </c>
      <c r="E15" s="14">
        <v>983</v>
      </c>
      <c r="F15" s="14">
        <v>500</v>
      </c>
      <c r="G15" s="15">
        <v>0</v>
      </c>
      <c r="H15" s="16">
        <v>288</v>
      </c>
      <c r="I15" s="16">
        <v>288</v>
      </c>
      <c r="J15" s="17">
        <v>288</v>
      </c>
      <c r="K15" s="14">
        <v>292</v>
      </c>
      <c r="L15" s="14">
        <v>2303</v>
      </c>
    </row>
    <row r="16" spans="1:12" ht="11.25">
      <c r="A16" s="1" t="s">
        <v>18</v>
      </c>
      <c r="C16" s="14">
        <f aca="true" t="shared" si="1" ref="C16:L16">C17+C21</f>
        <v>124135</v>
      </c>
      <c r="D16" s="14">
        <f t="shared" si="1"/>
        <v>112097</v>
      </c>
      <c r="E16" s="14">
        <f t="shared" si="1"/>
        <v>119436</v>
      </c>
      <c r="F16" s="14">
        <f t="shared" si="1"/>
        <v>117074</v>
      </c>
      <c r="G16" s="15">
        <f t="shared" si="1"/>
        <v>122961</v>
      </c>
      <c r="H16" s="16">
        <f t="shared" si="1"/>
        <v>136162</v>
      </c>
      <c r="I16" s="16">
        <f t="shared" si="1"/>
        <v>142073</v>
      </c>
      <c r="J16" s="17">
        <f t="shared" si="1"/>
        <v>149361</v>
      </c>
      <c r="K16" s="14">
        <f t="shared" si="1"/>
        <v>152969</v>
      </c>
      <c r="L16" s="14">
        <f t="shared" si="1"/>
        <v>148828</v>
      </c>
    </row>
    <row r="17" spans="2:12" ht="11.25">
      <c r="B17" s="1" t="s">
        <v>15</v>
      </c>
      <c r="C17" s="14">
        <f aca="true" t="shared" si="2" ref="C17:L17">SUM(C18:C20)</f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5">
        <f t="shared" si="2"/>
        <v>0</v>
      </c>
      <c r="H17" s="16">
        <f t="shared" si="2"/>
        <v>0</v>
      </c>
      <c r="I17" s="16">
        <f t="shared" si="2"/>
        <v>0</v>
      </c>
      <c r="J17" s="17">
        <f t="shared" si="2"/>
        <v>0</v>
      </c>
      <c r="K17" s="14">
        <f t="shared" si="2"/>
        <v>0</v>
      </c>
      <c r="L17" s="14">
        <f t="shared" si="2"/>
        <v>0</v>
      </c>
    </row>
    <row r="18" spans="2:12" ht="11.25">
      <c r="B18" s="1" t="s">
        <v>19</v>
      </c>
      <c r="D18" s="14">
        <v>0</v>
      </c>
      <c r="E18" s="14">
        <v>0</v>
      </c>
      <c r="F18" s="14">
        <v>0</v>
      </c>
      <c r="G18" s="15">
        <v>0</v>
      </c>
      <c r="H18" s="16">
        <v>0</v>
      </c>
      <c r="I18" s="16">
        <v>0</v>
      </c>
      <c r="J18" s="17">
        <v>0</v>
      </c>
      <c r="K18" s="14">
        <v>0</v>
      </c>
      <c r="L18" s="14">
        <v>0</v>
      </c>
    </row>
    <row r="19" spans="2:12" ht="11.25">
      <c r="B19" s="1" t="s">
        <v>20</v>
      </c>
      <c r="D19" s="14">
        <v>0</v>
      </c>
      <c r="E19" s="14">
        <v>0</v>
      </c>
      <c r="F19" s="14">
        <v>0</v>
      </c>
      <c r="G19" s="15">
        <v>0</v>
      </c>
      <c r="H19" s="16">
        <v>0</v>
      </c>
      <c r="I19" s="16">
        <v>0</v>
      </c>
      <c r="J19" s="17">
        <v>0</v>
      </c>
      <c r="K19" s="14">
        <v>0</v>
      </c>
      <c r="L19" s="14">
        <v>0</v>
      </c>
    </row>
    <row r="20" spans="2:12" ht="11.25">
      <c r="B20" s="1" t="s">
        <v>21</v>
      </c>
      <c r="D20" s="14">
        <v>0</v>
      </c>
      <c r="E20" s="14">
        <v>0</v>
      </c>
      <c r="F20" s="14">
        <v>0</v>
      </c>
      <c r="G20" s="15">
        <v>0</v>
      </c>
      <c r="H20" s="16">
        <v>0</v>
      </c>
      <c r="I20" s="16">
        <v>0</v>
      </c>
      <c r="J20" s="17">
        <v>0</v>
      </c>
      <c r="K20" s="14">
        <v>0</v>
      </c>
      <c r="L20" s="14">
        <v>0</v>
      </c>
    </row>
    <row r="21" spans="2:12" ht="11.25">
      <c r="B21" s="1" t="s">
        <v>16</v>
      </c>
      <c r="C21" s="14">
        <f aca="true" t="shared" si="3" ref="C21:L21">SUM(C22:C23)</f>
        <v>124135</v>
      </c>
      <c r="D21" s="14">
        <f t="shared" si="3"/>
        <v>112097</v>
      </c>
      <c r="E21" s="14">
        <f t="shared" si="3"/>
        <v>119436</v>
      </c>
      <c r="F21" s="14">
        <f t="shared" si="3"/>
        <v>117074</v>
      </c>
      <c r="G21" s="15">
        <f t="shared" si="3"/>
        <v>122961</v>
      </c>
      <c r="H21" s="16">
        <f t="shared" si="3"/>
        <v>136162</v>
      </c>
      <c r="I21" s="16">
        <f t="shared" si="3"/>
        <v>142073</v>
      </c>
      <c r="J21" s="17">
        <f t="shared" si="3"/>
        <v>149361</v>
      </c>
      <c r="K21" s="14">
        <f t="shared" si="3"/>
        <v>152969</v>
      </c>
      <c r="L21" s="14">
        <f t="shared" si="3"/>
        <v>148828</v>
      </c>
    </row>
    <row r="22" spans="2:12" ht="11.25">
      <c r="B22" s="1" t="s">
        <v>20</v>
      </c>
      <c r="C22" s="14">
        <f>4252+118110</f>
        <v>122362</v>
      </c>
      <c r="D22" s="14">
        <f>101649+5718</f>
        <v>107367</v>
      </c>
      <c r="E22" s="14">
        <v>119046</v>
      </c>
      <c r="F22" s="19">
        <v>116790</v>
      </c>
      <c r="G22" s="15">
        <f>20305+102656</f>
        <v>122961</v>
      </c>
      <c r="H22" s="16">
        <v>136162</v>
      </c>
      <c r="I22" s="16">
        <v>142073</v>
      </c>
      <c r="J22" s="17">
        <v>149361</v>
      </c>
      <c r="K22" s="14">
        <v>152969</v>
      </c>
      <c r="L22" s="14">
        <v>148828</v>
      </c>
    </row>
    <row r="23" spans="2:12" ht="11.25">
      <c r="B23" s="1" t="s">
        <v>21</v>
      </c>
      <c r="C23" s="14">
        <f>773+1000</f>
        <v>1773</v>
      </c>
      <c r="D23" s="14">
        <f>3230+1500</f>
        <v>4730</v>
      </c>
      <c r="E23" s="14">
        <v>390</v>
      </c>
      <c r="F23" s="14">
        <v>284</v>
      </c>
      <c r="G23" s="15"/>
      <c r="H23" s="16"/>
      <c r="I23" s="16"/>
      <c r="J23" s="17"/>
      <c r="K23" s="14"/>
      <c r="L23" s="14"/>
    </row>
    <row r="24" spans="1:12" ht="11.25">
      <c r="A24" s="2" t="s">
        <v>22</v>
      </c>
      <c r="B24" s="2"/>
      <c r="C24" s="20">
        <v>9868</v>
      </c>
      <c r="D24" s="20">
        <v>9818</v>
      </c>
      <c r="E24" s="20">
        <v>9918</v>
      </c>
      <c r="F24" s="20">
        <v>8626</v>
      </c>
      <c r="G24" s="21">
        <v>8636</v>
      </c>
      <c r="H24" s="20">
        <v>9080</v>
      </c>
      <c r="I24" s="20">
        <v>9319</v>
      </c>
      <c r="J24" s="22">
        <v>9389</v>
      </c>
      <c r="K24" s="20">
        <v>9524</v>
      </c>
      <c r="L24" s="20">
        <v>9206</v>
      </c>
    </row>
    <row r="25" spans="1:12" ht="11.25">
      <c r="A25" s="9" t="s">
        <v>23</v>
      </c>
      <c r="F25" s="14"/>
      <c r="G25" s="15"/>
      <c r="H25" s="16"/>
      <c r="I25" s="16"/>
      <c r="J25" s="17"/>
      <c r="K25" s="14"/>
      <c r="L25" s="14"/>
    </row>
    <row r="26" spans="1:12" ht="11.25">
      <c r="A26" s="1" t="s">
        <v>12</v>
      </c>
      <c r="C26" s="14">
        <f>(C10+G10)/2</f>
        <v>159035.5</v>
      </c>
      <c r="D26" s="14">
        <f>(D10+H10)/2</f>
        <v>154187</v>
      </c>
      <c r="E26" s="14">
        <f>(E10+I10)/2</f>
        <v>160629.5</v>
      </c>
      <c r="F26" s="14">
        <f>+(F10+J10)/2</f>
        <v>163467.5</v>
      </c>
      <c r="G26" s="15">
        <f>+(G10+K10)/2</f>
        <v>168207</v>
      </c>
      <c r="H26" s="16">
        <f>+(187129+H10)/2</f>
        <v>177212.5</v>
      </c>
      <c r="I26" s="16">
        <f>+(196021+I10)/2</f>
        <v>184347.5</v>
      </c>
      <c r="J26" s="17">
        <f>+(191756+J10)/2</f>
        <v>186650</v>
      </c>
      <c r="K26" s="14">
        <f>+(K10+L10)/2</f>
        <v>183541</v>
      </c>
      <c r="L26" s="14">
        <f>+(182753+122145)/2</f>
        <v>152449</v>
      </c>
    </row>
    <row r="27" spans="1:12" ht="11.25">
      <c r="A27" s="1" t="s">
        <v>24</v>
      </c>
      <c r="C27" s="14">
        <f aca="true" t="shared" si="4" ref="C27:L27">C28+C29</f>
        <v>148255.5</v>
      </c>
      <c r="D27" s="14">
        <f t="shared" si="4"/>
        <v>140306</v>
      </c>
      <c r="E27" s="14">
        <f t="shared" si="4"/>
        <v>138311.5</v>
      </c>
      <c r="F27" s="14">
        <f t="shared" si="4"/>
        <v>143527</v>
      </c>
      <c r="G27" s="15">
        <f t="shared" si="4"/>
        <v>152224</v>
      </c>
      <c r="H27" s="16">
        <f t="shared" si="4"/>
        <v>160765.5</v>
      </c>
      <c r="I27" s="16">
        <f t="shared" si="4"/>
        <v>163324</v>
      </c>
      <c r="J27" s="17">
        <f t="shared" si="4"/>
        <v>168111</v>
      </c>
      <c r="K27" s="14">
        <f t="shared" si="4"/>
        <v>164599</v>
      </c>
      <c r="L27" s="14">
        <f t="shared" si="4"/>
        <v>134840</v>
      </c>
    </row>
    <row r="28" spans="2:12" ht="11.25">
      <c r="B28" s="1" t="s">
        <v>14</v>
      </c>
      <c r="C28" s="14">
        <f>(C12+G12)/2</f>
        <v>147514</v>
      </c>
      <c r="D28" s="14">
        <f>(D12+H12)/2</f>
        <v>139421</v>
      </c>
      <c r="E28" s="14">
        <f>(E12+I12)/2</f>
        <v>137676</v>
      </c>
      <c r="F28" s="14">
        <f>+(F12+J12)/2</f>
        <v>143133</v>
      </c>
      <c r="G28" s="15">
        <f>+(G12+K12)/2</f>
        <v>152078</v>
      </c>
      <c r="H28" s="16">
        <f>+(170529+H12)/2</f>
        <v>159955.5</v>
      </c>
      <c r="I28" s="16">
        <f>+(171243+I12)/2</f>
        <v>161304.5</v>
      </c>
      <c r="J28" s="17">
        <f>+(171850+J12)/2</f>
        <v>164815.5</v>
      </c>
      <c r="K28" s="14">
        <f>+(K12+L12)/2</f>
        <v>163301.5</v>
      </c>
      <c r="L28" s="14">
        <f>+(161693+93752)/2</f>
        <v>127722.5</v>
      </c>
    </row>
    <row r="29" spans="2:12" ht="11.25">
      <c r="B29" s="1" t="s">
        <v>17</v>
      </c>
      <c r="C29" s="14">
        <f>(C15+G15)/2</f>
        <v>741.5</v>
      </c>
      <c r="D29" s="14">
        <f>(D15+H15)/2</f>
        <v>885</v>
      </c>
      <c r="E29" s="14">
        <f>(E15+I15)/2</f>
        <v>635.5</v>
      </c>
      <c r="F29" s="14">
        <f>+(F15+J15)/2</f>
        <v>394</v>
      </c>
      <c r="G29" s="15">
        <f>+(G15+K15)/2</f>
        <v>146</v>
      </c>
      <c r="H29" s="16">
        <f>+(1332+H15)/2</f>
        <v>810</v>
      </c>
      <c r="I29" s="16">
        <f>+(3751+I15)/2</f>
        <v>2019.5</v>
      </c>
      <c r="J29" s="17">
        <f>+(6303+J15)/2</f>
        <v>3295.5</v>
      </c>
      <c r="K29" s="14">
        <f>+(K15+L15)/2</f>
        <v>1297.5</v>
      </c>
      <c r="L29" s="14">
        <f>+(2303+11932)/2</f>
        <v>7117.5</v>
      </c>
    </row>
    <row r="30" spans="1:12" ht="11.25">
      <c r="A30" s="2" t="s">
        <v>22</v>
      </c>
      <c r="B30" s="2"/>
      <c r="C30" s="20">
        <f>(C24+G24)/2</f>
        <v>9252</v>
      </c>
      <c r="D30" s="20">
        <f>(D24+H24)/2</f>
        <v>9449</v>
      </c>
      <c r="E30" s="20">
        <f>(E24+I24)/2</f>
        <v>9618.5</v>
      </c>
      <c r="F30" s="20">
        <f>+(F24+J24)/2</f>
        <v>9007.5</v>
      </c>
      <c r="G30" s="21">
        <f>+(G24+K24)/2</f>
        <v>9080</v>
      </c>
      <c r="H30" s="20">
        <f>+(9101+H24)/2</f>
        <v>9090.5</v>
      </c>
      <c r="I30" s="20">
        <f>+(9139+I24)/2</f>
        <v>9229</v>
      </c>
      <c r="J30" s="22">
        <f>+(8924+J24)/2</f>
        <v>9156.5</v>
      </c>
      <c r="K30" s="20">
        <f>+(K24+L24)/2</f>
        <v>9365</v>
      </c>
      <c r="L30" s="20">
        <f>+(9206+5424)/2</f>
        <v>7315</v>
      </c>
    </row>
    <row r="31" spans="1:10" ht="11.25">
      <c r="A31" s="9" t="s">
        <v>25</v>
      </c>
      <c r="G31" s="23"/>
      <c r="H31" s="24"/>
      <c r="I31" s="24"/>
      <c r="J31" s="25"/>
    </row>
    <row r="32" spans="1:12" ht="11.25">
      <c r="A32" s="1" t="s">
        <v>26</v>
      </c>
      <c r="C32" s="14">
        <v>12950</v>
      </c>
      <c r="D32" s="14">
        <v>9720</v>
      </c>
      <c r="E32" s="14">
        <v>6724</v>
      </c>
      <c r="F32" s="14">
        <v>3461</v>
      </c>
      <c r="G32" s="15">
        <v>16577</v>
      </c>
      <c r="H32" s="16">
        <v>12882</v>
      </c>
      <c r="I32" s="16">
        <v>8674</v>
      </c>
      <c r="J32" s="17">
        <v>4402</v>
      </c>
      <c r="K32" s="14">
        <v>13292</v>
      </c>
      <c r="L32" s="14">
        <v>17453</v>
      </c>
    </row>
    <row r="33" spans="1:12" ht="11.25">
      <c r="A33" s="1" t="s">
        <v>27</v>
      </c>
      <c r="C33" s="14">
        <v>11993</v>
      </c>
      <c r="D33" s="14">
        <v>8989</v>
      </c>
      <c r="E33" s="14">
        <v>6132</v>
      </c>
      <c r="F33" s="14">
        <v>3136</v>
      </c>
      <c r="G33" s="15">
        <v>14540</v>
      </c>
      <c r="H33" s="16">
        <v>11052</v>
      </c>
      <c r="I33" s="16">
        <v>7445</v>
      </c>
      <c r="J33" s="17">
        <v>3785</v>
      </c>
      <c r="K33" s="14">
        <v>15386</v>
      </c>
      <c r="L33" s="14">
        <v>13935</v>
      </c>
    </row>
    <row r="34" spans="1:12" ht="11.25">
      <c r="A34" s="1" t="s">
        <v>28</v>
      </c>
      <c r="C34" s="14">
        <f>+C32-C33</f>
        <v>957</v>
      </c>
      <c r="D34" s="14">
        <f aca="true" t="shared" si="5" ref="D34:L34">D32-D33</f>
        <v>731</v>
      </c>
      <c r="E34" s="14">
        <f t="shared" si="5"/>
        <v>592</v>
      </c>
      <c r="F34" s="14">
        <f t="shared" si="5"/>
        <v>325</v>
      </c>
      <c r="G34" s="15">
        <f t="shared" si="5"/>
        <v>2037</v>
      </c>
      <c r="H34" s="16">
        <f t="shared" si="5"/>
        <v>1830</v>
      </c>
      <c r="I34" s="16">
        <f t="shared" si="5"/>
        <v>1229</v>
      </c>
      <c r="J34" s="17">
        <f t="shared" si="5"/>
        <v>617</v>
      </c>
      <c r="K34" s="14">
        <f t="shared" si="5"/>
        <v>-2094</v>
      </c>
      <c r="L34" s="14">
        <f t="shared" si="5"/>
        <v>3518</v>
      </c>
    </row>
    <row r="35" spans="1:12" ht="11.25">
      <c r="A35" s="1" t="s">
        <v>29</v>
      </c>
      <c r="C35" s="14">
        <v>542</v>
      </c>
      <c r="D35" s="14">
        <v>182</v>
      </c>
      <c r="E35" s="14">
        <v>89</v>
      </c>
      <c r="F35" s="14">
        <v>23</v>
      </c>
      <c r="G35" s="15">
        <v>1020</v>
      </c>
      <c r="H35" s="16">
        <v>582</v>
      </c>
      <c r="I35" s="16">
        <v>481</v>
      </c>
      <c r="J35" s="17">
        <v>114</v>
      </c>
      <c r="K35" s="14">
        <v>6170</v>
      </c>
      <c r="L35" s="14">
        <v>2433</v>
      </c>
    </row>
    <row r="36" spans="1:12" ht="11.25">
      <c r="A36" s="1" t="s">
        <v>30</v>
      </c>
      <c r="C36" s="14">
        <f>+C35+C34</f>
        <v>1499</v>
      </c>
      <c r="D36" s="14">
        <f aca="true" t="shared" si="6" ref="D36:L36">D34+D35</f>
        <v>913</v>
      </c>
      <c r="E36" s="14">
        <f t="shared" si="6"/>
        <v>681</v>
      </c>
      <c r="F36" s="14">
        <f t="shared" si="6"/>
        <v>348</v>
      </c>
      <c r="G36" s="15">
        <f t="shared" si="6"/>
        <v>3057</v>
      </c>
      <c r="H36" s="16">
        <f t="shared" si="6"/>
        <v>2412</v>
      </c>
      <c r="I36" s="16">
        <f t="shared" si="6"/>
        <v>1710</v>
      </c>
      <c r="J36" s="17">
        <f t="shared" si="6"/>
        <v>731</v>
      </c>
      <c r="K36" s="14">
        <f t="shared" si="6"/>
        <v>4076</v>
      </c>
      <c r="L36" s="14">
        <f t="shared" si="6"/>
        <v>5951</v>
      </c>
    </row>
    <row r="37" spans="1:12" ht="11.25">
      <c r="A37" s="1" t="s">
        <v>31</v>
      </c>
      <c r="C37" s="14">
        <v>1311</v>
      </c>
      <c r="D37" s="14">
        <v>801</v>
      </c>
      <c r="E37" s="14">
        <v>510</v>
      </c>
      <c r="F37" s="14">
        <v>260</v>
      </c>
      <c r="G37" s="15">
        <v>3528</v>
      </c>
      <c r="H37" s="16">
        <v>2568</v>
      </c>
      <c r="I37" s="16">
        <v>1669</v>
      </c>
      <c r="J37" s="17">
        <v>840</v>
      </c>
      <c r="K37" s="14">
        <v>3018</v>
      </c>
      <c r="L37" s="14">
        <v>5043</v>
      </c>
    </row>
    <row r="38" spans="1:12" ht="11.25">
      <c r="A38" s="1" t="s">
        <v>32</v>
      </c>
      <c r="C38" s="14">
        <f>+C36-C37</f>
        <v>188</v>
      </c>
      <c r="D38" s="14">
        <f aca="true" t="shared" si="7" ref="D38:L38">D36-D37</f>
        <v>112</v>
      </c>
      <c r="E38" s="14">
        <f t="shared" si="7"/>
        <v>171</v>
      </c>
      <c r="F38" s="14">
        <f t="shared" si="7"/>
        <v>88</v>
      </c>
      <c r="G38" s="15">
        <f t="shared" si="7"/>
        <v>-471</v>
      </c>
      <c r="H38" s="16">
        <f t="shared" si="7"/>
        <v>-156</v>
      </c>
      <c r="I38" s="16">
        <f t="shared" si="7"/>
        <v>41</v>
      </c>
      <c r="J38" s="17">
        <f t="shared" si="7"/>
        <v>-109</v>
      </c>
      <c r="K38" s="14">
        <f t="shared" si="7"/>
        <v>1058</v>
      </c>
      <c r="L38" s="14">
        <f t="shared" si="7"/>
        <v>908</v>
      </c>
    </row>
    <row r="39" spans="1:12" ht="11.25">
      <c r="A39" s="2" t="s">
        <v>33</v>
      </c>
      <c r="B39" s="2"/>
      <c r="C39" s="20">
        <f>+C38-234</f>
        <v>-46</v>
      </c>
      <c r="D39" s="20">
        <v>-96</v>
      </c>
      <c r="E39" s="20">
        <v>3</v>
      </c>
      <c r="F39" s="20">
        <v>61</v>
      </c>
      <c r="G39" s="21">
        <v>-769</v>
      </c>
      <c r="H39" s="20">
        <v>-442</v>
      </c>
      <c r="I39" s="20">
        <v>-202</v>
      </c>
      <c r="J39" s="22">
        <v>-134</v>
      </c>
      <c r="K39" s="20">
        <v>758</v>
      </c>
      <c r="L39" s="20">
        <v>672</v>
      </c>
    </row>
    <row r="40" spans="1:12" ht="11.25">
      <c r="A40" s="26" t="s">
        <v>34</v>
      </c>
      <c r="B40" s="3"/>
      <c r="C40" s="24"/>
      <c r="D40" s="24"/>
      <c r="E40" s="14"/>
      <c r="F40" s="3"/>
      <c r="G40" s="27"/>
      <c r="H40" s="3"/>
      <c r="I40" s="3"/>
      <c r="J40" s="28"/>
      <c r="K40" s="3"/>
      <c r="L40" s="3"/>
    </row>
    <row r="41" spans="1:12" ht="11.25">
      <c r="A41" s="24" t="s">
        <v>35</v>
      </c>
      <c r="B41" s="24"/>
      <c r="C41" s="16">
        <v>19587</v>
      </c>
      <c r="D41" s="16">
        <v>18806</v>
      </c>
      <c r="E41" s="14">
        <v>18111</v>
      </c>
      <c r="F41" s="16">
        <v>19265</v>
      </c>
      <c r="G41" s="15">
        <v>27683</v>
      </c>
      <c r="H41" s="16">
        <v>23883</v>
      </c>
      <c r="I41" s="16">
        <v>19029</v>
      </c>
      <c r="J41" s="17">
        <v>33549</v>
      </c>
      <c r="K41" s="16">
        <v>9237</v>
      </c>
      <c r="L41" s="16">
        <v>11911</v>
      </c>
    </row>
    <row r="42" spans="1:12" ht="11.25">
      <c r="A42" s="24" t="s">
        <v>36</v>
      </c>
      <c r="B42" s="24"/>
      <c r="C42" s="16">
        <v>1883</v>
      </c>
      <c r="D42" s="16">
        <v>1857</v>
      </c>
      <c r="E42" s="14">
        <v>1815</v>
      </c>
      <c r="F42" s="16">
        <v>1675</v>
      </c>
      <c r="G42" s="15">
        <v>1657</v>
      </c>
      <c r="H42" s="16">
        <v>1652</v>
      </c>
      <c r="I42" s="16">
        <v>1646</v>
      </c>
      <c r="J42" s="17">
        <v>1734</v>
      </c>
      <c r="K42" s="16">
        <v>1746</v>
      </c>
      <c r="L42" s="16">
        <v>1814</v>
      </c>
    </row>
    <row r="43" spans="1:12" ht="11.25">
      <c r="A43" s="24" t="s">
        <v>37</v>
      </c>
      <c r="B43" s="24"/>
      <c r="C43" s="29">
        <f>C41/C12</f>
        <v>0.1257333966697051</v>
      </c>
      <c r="D43" s="29">
        <f>D41/D12</f>
        <v>0.1452649467016839</v>
      </c>
      <c r="E43" s="29">
        <f>E41/E12</f>
        <v>0.1460729437194522</v>
      </c>
      <c r="F43" s="30">
        <f>+F41/F12</f>
        <v>0.14993968167490368</v>
      </c>
      <c r="G43" s="31">
        <f>+G41/G12</f>
        <v>0.19880642890998665</v>
      </c>
      <c r="H43" s="30">
        <f>H41/H12</f>
        <v>0.15987870024500944</v>
      </c>
      <c r="I43" s="30">
        <f>I41/I12</f>
        <v>0.12571515399759522</v>
      </c>
      <c r="J43" s="32">
        <f>J41/J12</f>
        <v>0.2126301645952301</v>
      </c>
      <c r="K43" s="30">
        <f>K41/K12</f>
        <v>0.05601237038384573</v>
      </c>
      <c r="L43" s="30">
        <f>L41/L12</f>
        <v>0.07366428973424947</v>
      </c>
    </row>
    <row r="44" spans="1:12" ht="11.25">
      <c r="A44" s="24" t="s">
        <v>38</v>
      </c>
      <c r="B44" s="24"/>
      <c r="C44" s="30">
        <f aca="true" t="shared" si="8" ref="C44:L44">+C42/C41</f>
        <v>0.09613519170878644</v>
      </c>
      <c r="D44" s="30">
        <f t="shared" si="8"/>
        <v>0.09874508135701372</v>
      </c>
      <c r="E44" s="30">
        <f t="shared" si="8"/>
        <v>0.10021533874440948</v>
      </c>
      <c r="F44" s="30">
        <f t="shared" si="8"/>
        <v>0.08694523747729042</v>
      </c>
      <c r="G44" s="31">
        <f t="shared" si="8"/>
        <v>0.05985622945490012</v>
      </c>
      <c r="H44" s="30">
        <f t="shared" si="8"/>
        <v>0.06917053971444123</v>
      </c>
      <c r="I44" s="30">
        <f t="shared" si="8"/>
        <v>0.08649955331336381</v>
      </c>
      <c r="J44" s="32">
        <f t="shared" si="8"/>
        <v>0.05168559420549047</v>
      </c>
      <c r="K44" s="30">
        <f t="shared" si="8"/>
        <v>0.1890224098733355</v>
      </c>
      <c r="L44" s="30">
        <f t="shared" si="8"/>
        <v>0.15229619679288053</v>
      </c>
    </row>
    <row r="45" spans="1:12" ht="11.25">
      <c r="A45" s="2" t="s">
        <v>39</v>
      </c>
      <c r="B45" s="2"/>
      <c r="C45" s="33">
        <f>C42/C12</f>
        <v>0.01208740419303899</v>
      </c>
      <c r="D45" s="33">
        <f>D42/D12</f>
        <v>0.01434419898038004</v>
      </c>
      <c r="E45" s="33">
        <f>E42/E12</f>
        <v>0.014638749536237962</v>
      </c>
      <c r="F45" s="33">
        <f>+F42/F12</f>
        <v>0.013036541230493833</v>
      </c>
      <c r="G45" s="34">
        <f>1657/G12</f>
        <v>0.011899803225945449</v>
      </c>
      <c r="H45" s="33">
        <f>1652/H12</f>
        <v>0.011058895984790672</v>
      </c>
      <c r="I45" s="33">
        <f>1646/I12</f>
        <v>0.010874304665512731</v>
      </c>
      <c r="J45" s="35">
        <f>1734/J12</f>
        <v>0.010989916403115712</v>
      </c>
      <c r="K45" s="33">
        <f>1746/K12</f>
        <v>0.010587593232672367</v>
      </c>
      <c r="L45" s="33">
        <f>1814/L12</f>
        <v>0.011218791165975026</v>
      </c>
    </row>
    <row r="46" spans="1:12" s="37" customFormat="1" ht="11.25">
      <c r="A46" s="36" t="s">
        <v>40</v>
      </c>
      <c r="C46" s="38"/>
      <c r="D46" s="38"/>
      <c r="E46" s="38"/>
      <c r="F46" s="39"/>
      <c r="G46" s="38"/>
      <c r="H46" s="38"/>
      <c r="I46" s="38"/>
      <c r="J46" s="39"/>
      <c r="K46" s="38"/>
      <c r="L46" s="38"/>
    </row>
    <row r="47" spans="1:12" s="37" customFormat="1" ht="11.25">
      <c r="A47" s="37" t="s">
        <v>41</v>
      </c>
      <c r="C47" s="40">
        <f aca="true" t="shared" si="9" ref="C47:L47">C24/C12</f>
        <v>0.06334493073654208</v>
      </c>
      <c r="D47" s="40">
        <f t="shared" si="9"/>
        <v>0.07583809670940832</v>
      </c>
      <c r="E47" s="40">
        <f t="shared" si="9"/>
        <v>0.07999290242446729</v>
      </c>
      <c r="F47" s="41">
        <f t="shared" si="9"/>
        <v>0.06713624158462077</v>
      </c>
      <c r="G47" s="40">
        <f t="shared" si="9"/>
        <v>0.062019734857733794</v>
      </c>
      <c r="H47" s="40">
        <f t="shared" si="9"/>
        <v>0.06078376243456374</v>
      </c>
      <c r="I47" s="40">
        <f t="shared" si="9"/>
        <v>0.061566005575888906</v>
      </c>
      <c r="J47" s="41">
        <f t="shared" si="9"/>
        <v>0.059506531204644414</v>
      </c>
      <c r="K47" s="40">
        <f t="shared" si="9"/>
        <v>0.057752713601358314</v>
      </c>
      <c r="L47" s="40">
        <f t="shared" si="9"/>
        <v>0.05693505593934184</v>
      </c>
    </row>
    <row r="48" spans="1:12" s="37" customFormat="1" ht="11.25">
      <c r="A48" s="42" t="s">
        <v>42</v>
      </c>
      <c r="B48" s="42"/>
      <c r="C48" s="43">
        <f aca="true" t="shared" si="10" ref="C48:L48">C24/(C12+C15)</f>
        <v>0.06274759164467618</v>
      </c>
      <c r="D48" s="43">
        <f t="shared" si="10"/>
        <v>0.07497976203204472</v>
      </c>
      <c r="E48" s="43">
        <f t="shared" si="10"/>
        <v>0.0793636821931839</v>
      </c>
      <c r="F48" s="44">
        <f t="shared" si="10"/>
        <v>0.06687599333255805</v>
      </c>
      <c r="G48" s="43">
        <f t="shared" si="10"/>
        <v>0.062019734857733794</v>
      </c>
      <c r="H48" s="43">
        <f t="shared" si="10"/>
        <v>0.06066680029398009</v>
      </c>
      <c r="I48" s="43">
        <f t="shared" si="10"/>
        <v>0.06144908805570575</v>
      </c>
      <c r="J48" s="44">
        <f t="shared" si="10"/>
        <v>0.05939811095154648</v>
      </c>
      <c r="K48" s="43">
        <f t="shared" si="10"/>
        <v>0.05765063376956695</v>
      </c>
      <c r="L48" s="43">
        <f t="shared" si="10"/>
        <v>0.056135515500378055</v>
      </c>
    </row>
    <row r="49" spans="1:10" ht="11.25">
      <c r="A49" s="9" t="s">
        <v>43</v>
      </c>
      <c r="G49" s="23"/>
      <c r="H49" s="24"/>
      <c r="I49" s="24"/>
      <c r="J49" s="25"/>
    </row>
    <row r="50" spans="1:12" ht="11.25">
      <c r="A50" s="1" t="s">
        <v>44</v>
      </c>
      <c r="C50" s="45">
        <f aca="true" t="shared" si="11" ref="C50:L50">C11/C16</f>
        <v>0.032649937567970355</v>
      </c>
      <c r="D50" s="45">
        <f t="shared" si="11"/>
        <v>0.04535357770502333</v>
      </c>
      <c r="E50" s="45">
        <f t="shared" si="11"/>
        <v>0.15424997488194514</v>
      </c>
      <c r="F50" s="29">
        <f t="shared" si="11"/>
        <v>0.08484377402326733</v>
      </c>
      <c r="G50" s="31">
        <f t="shared" si="11"/>
        <v>0.03887411455664804</v>
      </c>
      <c r="H50" s="30">
        <f t="shared" si="11"/>
        <v>0.06975514460715912</v>
      </c>
      <c r="I50" s="30">
        <f t="shared" si="11"/>
        <v>0.08824336784610728</v>
      </c>
      <c r="J50" s="32">
        <f t="shared" si="11"/>
        <v>0.05326022187853589</v>
      </c>
      <c r="K50" s="29">
        <f t="shared" si="11"/>
        <v>0.029090861547110852</v>
      </c>
      <c r="L50" s="29">
        <f t="shared" si="11"/>
        <v>0.046415996989813746</v>
      </c>
    </row>
    <row r="51" spans="1:12" ht="11.25">
      <c r="A51" s="1" t="s">
        <v>45</v>
      </c>
      <c r="C51" s="45">
        <f aca="true" t="shared" si="12" ref="C51:L51">C11/C10</f>
        <v>0.024417721976552238</v>
      </c>
      <c r="D51" s="45">
        <f t="shared" si="12"/>
        <v>0.036036802336296234</v>
      </c>
      <c r="E51" s="45">
        <f t="shared" si="12"/>
        <v>0.12398963556213616</v>
      </c>
      <c r="F51" s="29">
        <f t="shared" si="12"/>
        <v>0.06831922196009381</v>
      </c>
      <c r="G51" s="31">
        <f t="shared" si="12"/>
        <v>0.031429792550218626</v>
      </c>
      <c r="H51" s="30">
        <f t="shared" si="12"/>
        <v>0.056773622800306046</v>
      </c>
      <c r="I51" s="30">
        <f t="shared" si="12"/>
        <v>0.07260502449702909</v>
      </c>
      <c r="J51" s="32">
        <f t="shared" si="12"/>
        <v>0.04381857841625171</v>
      </c>
      <c r="K51" s="29">
        <f t="shared" si="12"/>
        <v>0.024141616349028096</v>
      </c>
      <c r="L51" s="29">
        <f t="shared" si="12"/>
        <v>0.03779965308367031</v>
      </c>
    </row>
    <row r="52" spans="1:12" ht="11.25">
      <c r="A52" s="2" t="s">
        <v>46</v>
      </c>
      <c r="B52" s="2"/>
      <c r="C52" s="46">
        <f aca="true" t="shared" si="13" ref="C52:L52">(C11+C15)/C16</f>
        <v>0.04459660853103476</v>
      </c>
      <c r="D52" s="46">
        <f t="shared" si="13"/>
        <v>0.05857427049787238</v>
      </c>
      <c r="E52" s="46">
        <f t="shared" si="13"/>
        <v>0.16248032419036137</v>
      </c>
      <c r="F52" s="33">
        <f t="shared" si="13"/>
        <v>0.08911457710507883</v>
      </c>
      <c r="G52" s="34">
        <f t="shared" si="13"/>
        <v>0.03887411455664804</v>
      </c>
      <c r="H52" s="33">
        <f t="shared" si="13"/>
        <v>0.0718702721757906</v>
      </c>
      <c r="I52" s="33">
        <f t="shared" si="13"/>
        <v>0.09027049474565892</v>
      </c>
      <c r="J52" s="35">
        <f t="shared" si="13"/>
        <v>0.05518843607099577</v>
      </c>
      <c r="K52" s="33">
        <f t="shared" si="13"/>
        <v>0.030999745046381946</v>
      </c>
      <c r="L52" s="33">
        <f t="shared" si="13"/>
        <v>0.061890235708334455</v>
      </c>
    </row>
    <row r="53" spans="1:10" ht="11.25">
      <c r="A53" s="9" t="s">
        <v>47</v>
      </c>
      <c r="G53" s="23"/>
      <c r="H53" s="24"/>
      <c r="I53" s="24"/>
      <c r="J53" s="25"/>
    </row>
    <row r="54" spans="1:12" ht="11.25">
      <c r="A54" s="1" t="s">
        <v>48</v>
      </c>
      <c r="B54" s="24"/>
      <c r="C54" s="40">
        <f>C39/C27</f>
        <v>-0.0003102751668572161</v>
      </c>
      <c r="D54" s="40">
        <f>(D39/0.75)/D27</f>
        <v>-0.000912291705272761</v>
      </c>
      <c r="E54" s="29">
        <f>(E39/0.5)/E27</f>
        <v>4.338034075257661E-05</v>
      </c>
      <c r="F54" s="29">
        <f>((F39)/0.25)/F27</f>
        <v>0.0017000285660537739</v>
      </c>
      <c r="G54" s="47">
        <f>G39/G27</f>
        <v>-0.0050517658187933575</v>
      </c>
      <c r="H54" s="40">
        <f>(H39/0.75)/H27</f>
        <v>-0.003665794796354525</v>
      </c>
      <c r="I54" s="40">
        <f>(I39/0.5)/I27</f>
        <v>-0.00247361073694007</v>
      </c>
      <c r="J54" s="32">
        <f>((J39)/0.25)/J27</f>
        <v>-0.0031883695891405084</v>
      </c>
      <c r="K54" s="29">
        <f>K39/K27</f>
        <v>0.004605131258391606</v>
      </c>
      <c r="L54" s="29">
        <f>L39/L27</f>
        <v>0.004983684366656778</v>
      </c>
    </row>
    <row r="55" spans="1:12" ht="11.25">
      <c r="A55" s="1" t="s">
        <v>49</v>
      </c>
      <c r="B55" s="24"/>
      <c r="C55" s="40">
        <f>C39/C26</f>
        <v>-0.00028924359655548606</v>
      </c>
      <c r="D55" s="40">
        <f>(D39/0.75)/D26</f>
        <v>-0.0008301607787945806</v>
      </c>
      <c r="E55" s="29">
        <f>(E39/0.5)/E26</f>
        <v>3.7353039136646756E-05</v>
      </c>
      <c r="F55" s="29">
        <f>((F39)/0.25)/F26</f>
        <v>0.0014926514444767308</v>
      </c>
      <c r="G55" s="47">
        <f>G39/G26</f>
        <v>-0.004571747905854097</v>
      </c>
      <c r="H55" s="40">
        <f>(H39/0.75)/H26</f>
        <v>-0.003325574286990666</v>
      </c>
      <c r="I55" s="40">
        <f>(I39/0.5)/I26</f>
        <v>-0.0021915133104598652</v>
      </c>
      <c r="J55" s="32">
        <f>((J39)/0.25)/J26</f>
        <v>-0.0028716849718724885</v>
      </c>
      <c r="K55" s="29">
        <f>K39/K26</f>
        <v>0.004129867441062215</v>
      </c>
      <c r="L55" s="29">
        <f>L39/L26</f>
        <v>0.004408031538416126</v>
      </c>
    </row>
    <row r="56" spans="1:12" ht="11.25">
      <c r="A56" s="1" t="s">
        <v>50</v>
      </c>
      <c r="B56" s="24"/>
      <c r="C56" s="40">
        <f>+C39/C30</f>
        <v>-0.004971897968006917</v>
      </c>
      <c r="D56" s="40">
        <f>(D39/0.75)/D30</f>
        <v>-0.013546407027198646</v>
      </c>
      <c r="E56" s="29">
        <f>(E39/0.5)/E30</f>
        <v>0.0006237978894838073</v>
      </c>
      <c r="F56" s="29">
        <f>((F39)/0.25)/F30</f>
        <v>0.027088537330002774</v>
      </c>
      <c r="G56" s="47">
        <f>+G39/G30</f>
        <v>-0.08469162995594713</v>
      </c>
      <c r="H56" s="40">
        <f>(H39/0.75)/H30</f>
        <v>-0.06482958399794658</v>
      </c>
      <c r="I56" s="40">
        <f>(I39/0.5)/I30</f>
        <v>-0.04377505688590313</v>
      </c>
      <c r="J56" s="32">
        <f>((J39)/0.25)/J30</f>
        <v>-0.058537650849123574</v>
      </c>
      <c r="K56" s="29">
        <f>K39/K30</f>
        <v>0.0809396689802456</v>
      </c>
      <c r="L56" s="29">
        <f>L39/L30</f>
        <v>0.09186602870813397</v>
      </c>
    </row>
    <row r="57" spans="1:12" ht="11.25">
      <c r="A57" s="1" t="s">
        <v>51</v>
      </c>
      <c r="B57" s="24"/>
      <c r="C57" s="40">
        <f>C32/C27</f>
        <v>0.0873492045826293</v>
      </c>
      <c r="D57" s="40">
        <f>(D32/0.75)/D27</f>
        <v>0.09236953515886705</v>
      </c>
      <c r="E57" s="29">
        <f>(E32/0.5)/E27</f>
        <v>0.09722980374010838</v>
      </c>
      <c r="F57" s="29">
        <f>((F32)/0.25)/F27</f>
        <v>0.09645571913298544</v>
      </c>
      <c r="G57" s="47">
        <f>G32/G27</f>
        <v>0.10889872819003574</v>
      </c>
      <c r="H57" s="40">
        <f>(H32/0.75)/H27</f>
        <v>0.10683884291094793</v>
      </c>
      <c r="I57" s="40">
        <f>(I32/0.5)/I27</f>
        <v>0.10621831451593153</v>
      </c>
      <c r="J57" s="32">
        <f>((J32)/0.25)/J27</f>
        <v>0.1047403203835561</v>
      </c>
      <c r="K57" s="29">
        <f>K32/K27</f>
        <v>0.08075383204029186</v>
      </c>
      <c r="L57" s="29">
        <f>L32/L26</f>
        <v>0.11448418815472715</v>
      </c>
    </row>
    <row r="58" spans="1:12" ht="11.25">
      <c r="A58" s="1" t="s">
        <v>52</v>
      </c>
      <c r="B58" s="24"/>
      <c r="C58" s="40">
        <f>C33/C27</f>
        <v>0.08089413208953462</v>
      </c>
      <c r="D58" s="40">
        <f>(D33/0.75)/D27</f>
        <v>0.08542281394475884</v>
      </c>
      <c r="E58" s="29">
        <f>(E33/0.5)/E27</f>
        <v>0.0886694164982666</v>
      </c>
      <c r="F58" s="29">
        <f>((F33)/0.25)/F27</f>
        <v>0.08739818988761697</v>
      </c>
      <c r="G58" s="47">
        <f>G33/G27</f>
        <v>0.09551713264662602</v>
      </c>
      <c r="H58" s="40">
        <f>(H33/0.75)/H27</f>
        <v>0.09166145721563396</v>
      </c>
      <c r="I58" s="40">
        <f>(I33/0.5)/I27</f>
        <v>0.0911684749332615</v>
      </c>
      <c r="J58" s="32">
        <f>((J33)/0.25)/J27</f>
        <v>0.09005954399176734</v>
      </c>
      <c r="K58" s="29">
        <f>K33/K27</f>
        <v>0.093475659025875</v>
      </c>
      <c r="L58" s="29">
        <f>L33/L26</f>
        <v>0.0914076182854594</v>
      </c>
    </row>
    <row r="59" spans="1:12" ht="11.25">
      <c r="A59" s="1" t="s">
        <v>53</v>
      </c>
      <c r="B59" s="24"/>
      <c r="C59" s="40">
        <f>C34/C27</f>
        <v>0.006455072493094691</v>
      </c>
      <c r="D59" s="40">
        <f>(D34/0.75)/D27</f>
        <v>0.006946721214108211</v>
      </c>
      <c r="E59" s="29">
        <f>(E34/0.5)/E27</f>
        <v>0.008560387241841785</v>
      </c>
      <c r="F59" s="29">
        <f>((F34)/0.25)/F27</f>
        <v>0.009057529245368467</v>
      </c>
      <c r="G59" s="47">
        <f>G34/G27</f>
        <v>0.013381595543409713</v>
      </c>
      <c r="H59" s="40">
        <f>(H34/0.75)/H27</f>
        <v>0.015177385695313982</v>
      </c>
      <c r="I59" s="40">
        <f>(I34/0.5)/I27</f>
        <v>0.015049839582670031</v>
      </c>
      <c r="J59" s="32">
        <f>((J34)/0.25)/J27</f>
        <v>0.014680776391788759</v>
      </c>
      <c r="K59" s="29">
        <f>K34/K27</f>
        <v>-0.012721826985583145</v>
      </c>
      <c r="L59" s="29">
        <f>L34/L26</f>
        <v>0.023076569869267757</v>
      </c>
    </row>
    <row r="60" spans="1:12" ht="11.25">
      <c r="A60" s="1" t="s">
        <v>54</v>
      </c>
      <c r="B60" s="24"/>
      <c r="C60" s="40">
        <f>C37/C36</f>
        <v>0.8745830553702468</v>
      </c>
      <c r="D60" s="40">
        <f>(D37/0.75)/(D36/0.75)</f>
        <v>0.8773274917853232</v>
      </c>
      <c r="E60" s="29">
        <f>(E37/0.5)/(E36/0.5)</f>
        <v>0.748898678414097</v>
      </c>
      <c r="F60" s="29">
        <f>(F37/0.25)/(F36/0.25)</f>
        <v>0.7471264367816092</v>
      </c>
      <c r="G60" s="47">
        <f>G37/G36</f>
        <v>1.154072620215898</v>
      </c>
      <c r="H60" s="40">
        <f>(H37/0.75)/(H36/0.75)</f>
        <v>1.064676616915423</v>
      </c>
      <c r="I60" s="40">
        <f>(I37/0.5)/(I36/0.5)</f>
        <v>0.9760233918128655</v>
      </c>
      <c r="J60" s="32">
        <f>(J37/0.25)/(J36/0.25)</f>
        <v>1.1491108071135432</v>
      </c>
      <c r="K60" s="29">
        <f>K37/K36</f>
        <v>0.7404317958783121</v>
      </c>
      <c r="L60" s="29">
        <f>L37/L36</f>
        <v>0.8474206015795664</v>
      </c>
    </row>
    <row r="61" spans="1:12" ht="11.25">
      <c r="A61" s="2" t="s">
        <v>55</v>
      </c>
      <c r="B61" s="2"/>
      <c r="C61" s="43">
        <f>C35/C27</f>
        <v>0.0036558508790567636</v>
      </c>
      <c r="D61" s="43">
        <f>(D35/0.75)/D27</f>
        <v>0.0017295530245796092</v>
      </c>
      <c r="E61" s="33">
        <f>(E35/0.5)/E27</f>
        <v>0.0012869501089931062</v>
      </c>
      <c r="F61" s="33">
        <f>(F35/0.25)/F27</f>
        <v>0.0006409943773645377</v>
      </c>
      <c r="G61" s="48">
        <f>G35/G27</f>
        <v>0.006700651671221358</v>
      </c>
      <c r="H61" s="43">
        <f>(H35/0.75)/H27</f>
        <v>0.004826906270312971</v>
      </c>
      <c r="I61" s="43">
        <f>(I35/0.5)/I27</f>
        <v>0.005890132497367196</v>
      </c>
      <c r="J61" s="35">
        <f>(J35/0.25)/J27</f>
        <v>0.0027124935310598353</v>
      </c>
      <c r="K61" s="33">
        <f>K35/K27</f>
        <v>0.037485039398781284</v>
      </c>
      <c r="L61" s="33">
        <f>L35/L26</f>
        <v>0.015959435614533383</v>
      </c>
    </row>
    <row r="62" spans="1:10" ht="11.25">
      <c r="A62" s="9" t="s">
        <v>56</v>
      </c>
      <c r="D62" s="3"/>
      <c r="G62" s="23"/>
      <c r="H62" s="24"/>
      <c r="I62" s="24"/>
      <c r="J62" s="25"/>
    </row>
    <row r="63" spans="1:12" ht="11.25">
      <c r="A63" s="1" t="s">
        <v>57</v>
      </c>
      <c r="C63" s="1">
        <v>8</v>
      </c>
      <c r="D63" s="16">
        <v>9</v>
      </c>
      <c r="E63" s="14">
        <v>9</v>
      </c>
      <c r="F63" s="14">
        <v>7</v>
      </c>
      <c r="G63" s="15">
        <v>7</v>
      </c>
      <c r="H63" s="16">
        <v>7</v>
      </c>
      <c r="I63" s="16">
        <v>7</v>
      </c>
      <c r="J63" s="17">
        <v>8</v>
      </c>
      <c r="K63" s="14">
        <v>8</v>
      </c>
      <c r="L63" s="14">
        <v>4</v>
      </c>
    </row>
    <row r="64" spans="1:12" ht="11.25">
      <c r="A64" s="1" t="s">
        <v>58</v>
      </c>
      <c r="C64" s="1">
        <v>1</v>
      </c>
      <c r="D64" s="16">
        <v>1</v>
      </c>
      <c r="E64" s="14">
        <v>1</v>
      </c>
      <c r="F64" s="14">
        <v>1</v>
      </c>
      <c r="G64" s="15">
        <v>1</v>
      </c>
      <c r="H64" s="16">
        <v>1</v>
      </c>
      <c r="I64" s="16">
        <v>1</v>
      </c>
      <c r="J64" s="17">
        <v>1</v>
      </c>
      <c r="K64" s="14">
        <v>1</v>
      </c>
      <c r="L64" s="14">
        <v>1</v>
      </c>
    </row>
    <row r="65" spans="1:12" ht="11.25">
      <c r="A65" s="1" t="s">
        <v>59</v>
      </c>
      <c r="C65" s="16">
        <f aca="true" t="shared" si="14" ref="C65:L65">C12/C63</f>
        <v>19472.75</v>
      </c>
      <c r="D65" s="16">
        <f t="shared" si="14"/>
        <v>14384.444444444445</v>
      </c>
      <c r="E65" s="14">
        <f t="shared" si="14"/>
        <v>13776.222222222223</v>
      </c>
      <c r="F65" s="14">
        <f t="shared" si="14"/>
        <v>18355</v>
      </c>
      <c r="G65" s="15">
        <f t="shared" si="14"/>
        <v>19892.285714285714</v>
      </c>
      <c r="H65" s="16">
        <f t="shared" si="14"/>
        <v>21340.285714285714</v>
      </c>
      <c r="I65" s="16">
        <f t="shared" si="14"/>
        <v>21623.714285714286</v>
      </c>
      <c r="J65" s="17">
        <f t="shared" si="14"/>
        <v>19722.625</v>
      </c>
      <c r="K65" s="14">
        <f t="shared" si="14"/>
        <v>20613.75</v>
      </c>
      <c r="L65" s="14">
        <f t="shared" si="14"/>
        <v>40423.25</v>
      </c>
    </row>
    <row r="66" spans="1:12" ht="11.25">
      <c r="A66" s="1" t="s">
        <v>60</v>
      </c>
      <c r="C66" s="16">
        <f aca="true" t="shared" si="15" ref="C66:L66">+C16/C63</f>
        <v>15516.875</v>
      </c>
      <c r="D66" s="16">
        <f t="shared" si="15"/>
        <v>12455.222222222223</v>
      </c>
      <c r="E66" s="14">
        <f t="shared" si="15"/>
        <v>13270.666666666666</v>
      </c>
      <c r="F66" s="14">
        <f t="shared" si="15"/>
        <v>16724.85714285714</v>
      </c>
      <c r="G66" s="15">
        <f t="shared" si="15"/>
        <v>17565.85714285714</v>
      </c>
      <c r="H66" s="16">
        <f t="shared" si="15"/>
        <v>19451.714285714286</v>
      </c>
      <c r="I66" s="16">
        <f t="shared" si="15"/>
        <v>20296.14285714286</v>
      </c>
      <c r="J66" s="17">
        <f t="shared" si="15"/>
        <v>18670.125</v>
      </c>
      <c r="K66" s="14">
        <f t="shared" si="15"/>
        <v>19121.125</v>
      </c>
      <c r="L66" s="14">
        <f t="shared" si="15"/>
        <v>37207</v>
      </c>
    </row>
    <row r="67" spans="1:12" ht="11.25">
      <c r="A67" s="2" t="s">
        <v>61</v>
      </c>
      <c r="B67" s="2"/>
      <c r="C67" s="20">
        <f>C14/C65</f>
        <v>8</v>
      </c>
      <c r="D67" s="20">
        <f>D14/D65</f>
        <v>9</v>
      </c>
      <c r="E67" s="20">
        <f aca="true" t="shared" si="16" ref="E67:L67">+E39/E63</f>
        <v>0.3333333333333333</v>
      </c>
      <c r="F67" s="20">
        <f t="shared" si="16"/>
        <v>8.714285714285714</v>
      </c>
      <c r="G67" s="21">
        <f t="shared" si="16"/>
        <v>-109.85714285714286</v>
      </c>
      <c r="H67" s="20">
        <f t="shared" si="16"/>
        <v>-63.142857142857146</v>
      </c>
      <c r="I67" s="20">
        <f t="shared" si="16"/>
        <v>-28.857142857142858</v>
      </c>
      <c r="J67" s="22">
        <f t="shared" si="16"/>
        <v>-16.75</v>
      </c>
      <c r="K67" s="20">
        <f t="shared" si="16"/>
        <v>94.75</v>
      </c>
      <c r="L67" s="20">
        <f t="shared" si="16"/>
        <v>168</v>
      </c>
    </row>
    <row r="68" spans="1:10" ht="11.25">
      <c r="A68" s="9" t="s">
        <v>62</v>
      </c>
      <c r="G68" s="23"/>
      <c r="H68" s="24"/>
      <c r="I68" s="24"/>
      <c r="J68" s="25"/>
    </row>
    <row r="69" spans="1:12" ht="11.25">
      <c r="A69" s="1" t="s">
        <v>63</v>
      </c>
      <c r="C69" s="29">
        <f>(C10/G10)-1</f>
        <v>0.0914028339415458</v>
      </c>
      <c r="D69" s="29">
        <f>(D10/H10)-1</f>
        <v>-0.15671623947972457</v>
      </c>
      <c r="E69" s="29">
        <f>(E10/I10)-1</f>
        <v>-0.13950565806085458</v>
      </c>
      <c r="F69" s="29">
        <f>+(F10/J10)-1</f>
        <v>-0.19914180584321162</v>
      </c>
      <c r="G69" s="31">
        <f>+(G10/K10)-1</f>
        <v>-0.17492635450742966</v>
      </c>
      <c r="H69" s="30">
        <f>+(H10/187129)-1</f>
        <v>-0.1059857103922962</v>
      </c>
      <c r="I69" s="30">
        <f>+(I10/196021)-1</f>
        <v>-0.1191045857331613</v>
      </c>
      <c r="J69" s="32">
        <f>+(J10/191756)-1</f>
        <v>-0.0532551784559544</v>
      </c>
      <c r="K69" s="29">
        <f>+(K10/L10)-1</f>
        <v>0.008623661444682185</v>
      </c>
      <c r="L69" s="29">
        <f>+(L10/122145)-1</f>
        <v>0.4961971427401859</v>
      </c>
    </row>
    <row r="70" spans="1:12" ht="11.25">
      <c r="A70" s="1" t="s">
        <v>64</v>
      </c>
      <c r="C70" s="29">
        <f>(C12/G12)-1</f>
        <v>0.11875386007497513</v>
      </c>
      <c r="D70" s="29">
        <f>(D12/H12)-1</f>
        <v>-0.1333627880199756</v>
      </c>
      <c r="E70" s="29">
        <f>(E12/I12)-1</f>
        <v>-0.18088606424163944</v>
      </c>
      <c r="F70" s="29">
        <f aca="true" t="shared" si="17" ref="F70:L70">SUM(F71:F72)</f>
        <v>-0.18567508128355126</v>
      </c>
      <c r="G70" s="31">
        <f t="shared" si="17"/>
        <v>-0.15562427991025407</v>
      </c>
      <c r="H70" s="30">
        <f t="shared" si="17"/>
        <v>-0.12400823320373666</v>
      </c>
      <c r="I70" s="30">
        <f t="shared" si="17"/>
        <v>-0.11607481765678018</v>
      </c>
      <c r="J70" s="32">
        <f t="shared" si="17"/>
        <v>-0.08186790805935407</v>
      </c>
      <c r="K70" s="29">
        <f t="shared" si="17"/>
        <v>0.019895728324664574</v>
      </c>
      <c r="L70" s="29">
        <f t="shared" si="17"/>
        <v>-0.999989333560884</v>
      </c>
    </row>
    <row r="71" spans="2:12" ht="11.25">
      <c r="B71" s="1" t="s">
        <v>15</v>
      </c>
      <c r="C71" s="29">
        <v>0</v>
      </c>
      <c r="D71" s="29">
        <v>0</v>
      </c>
      <c r="E71" s="29">
        <v>0</v>
      </c>
      <c r="F71" s="29">
        <v>0</v>
      </c>
      <c r="G71" s="31">
        <v>0</v>
      </c>
      <c r="H71" s="30">
        <v>0</v>
      </c>
      <c r="I71" s="30">
        <v>0</v>
      </c>
      <c r="J71" s="32">
        <v>0</v>
      </c>
      <c r="K71" s="29">
        <v>0</v>
      </c>
      <c r="L71" s="29">
        <v>0</v>
      </c>
    </row>
    <row r="72" spans="2:12" ht="11.25">
      <c r="B72" s="1" t="s">
        <v>16</v>
      </c>
      <c r="C72" s="29">
        <f>(C14/G14)-1</f>
        <v>0.11875386007497513</v>
      </c>
      <c r="D72" s="29">
        <f>(D14/H14)-1</f>
        <v>-0.1333627880199756</v>
      </c>
      <c r="E72" s="29">
        <f>(E14/I14)-1</f>
        <v>-0.18088606424163944</v>
      </c>
      <c r="F72" s="29">
        <f>+(F14/J14)-1</f>
        <v>-0.18567508128355126</v>
      </c>
      <c r="G72" s="31">
        <f>+(G14/K14)-1</f>
        <v>-0.15562427991025407</v>
      </c>
      <c r="H72" s="30">
        <f>+(H14/170529)-1</f>
        <v>-0.12400823320373666</v>
      </c>
      <c r="I72" s="30">
        <f>+(I14/171243)-1</f>
        <v>-0.11607481765678018</v>
      </c>
      <c r="J72" s="32">
        <f>+(J14/171850)-1</f>
        <v>-0.08186790805935407</v>
      </c>
      <c r="K72" s="29">
        <f>+(K14/L14)-1</f>
        <v>0.019895728324664574</v>
      </c>
      <c r="L72" s="29">
        <f>+(L14/161693/93752)-1</f>
        <v>-0.999989333560884</v>
      </c>
    </row>
    <row r="73" spans="1:12" ht="11.25">
      <c r="A73" s="1" t="s">
        <v>65</v>
      </c>
      <c r="C73" s="29">
        <f>(C16/G16)-1</f>
        <v>0.009547742780231072</v>
      </c>
      <c r="D73" s="29">
        <f>(D16/H16)-1</f>
        <v>-0.17673800326082167</v>
      </c>
      <c r="E73" s="29">
        <f>(E16/I16)-1</f>
        <v>-0.1593335820317724</v>
      </c>
      <c r="F73" s="29">
        <f aca="true" t="shared" si="18" ref="F73:L73">SUM(F74:F75)</f>
        <v>-0.21616754038872266</v>
      </c>
      <c r="G73" s="31">
        <f t="shared" si="18"/>
        <v>-0.19617046591139387</v>
      </c>
      <c r="H73" s="30">
        <f t="shared" si="18"/>
        <v>-0.12249790552297479</v>
      </c>
      <c r="I73" s="30">
        <f t="shared" si="18"/>
        <v>-0.13221964329342784</v>
      </c>
      <c r="J73" s="32">
        <f t="shared" si="18"/>
        <v>-0.05537671471125816</v>
      </c>
      <c r="K73" s="29">
        <f t="shared" si="18"/>
        <v>0.02782406536404447</v>
      </c>
      <c r="L73" s="29">
        <f t="shared" si="18"/>
        <v>0.39404271262645185</v>
      </c>
    </row>
    <row r="74" spans="2:12" ht="11.25">
      <c r="B74" s="1" t="s">
        <v>15</v>
      </c>
      <c r="C74" s="29">
        <v>0</v>
      </c>
      <c r="D74" s="29">
        <v>0</v>
      </c>
      <c r="E74" s="29">
        <v>0</v>
      </c>
      <c r="F74" s="29">
        <v>0</v>
      </c>
      <c r="G74" s="31">
        <v>0</v>
      </c>
      <c r="H74" s="30">
        <v>0</v>
      </c>
      <c r="I74" s="30">
        <v>0</v>
      </c>
      <c r="J74" s="32">
        <v>0</v>
      </c>
      <c r="K74" s="29">
        <v>0</v>
      </c>
      <c r="L74" s="29">
        <v>0</v>
      </c>
    </row>
    <row r="75" spans="2:12" ht="11.25">
      <c r="B75" s="1" t="s">
        <v>16</v>
      </c>
      <c r="C75" s="29">
        <f>(C21/G21)-1</f>
        <v>0.009547742780231072</v>
      </c>
      <c r="D75" s="29">
        <f>(D21/H21)-1</f>
        <v>-0.17673800326082167</v>
      </c>
      <c r="E75" s="29">
        <f>(E21/I21)-1</f>
        <v>-0.1593335820317724</v>
      </c>
      <c r="F75" s="29">
        <f>+(F21/J21)-1</f>
        <v>-0.21616754038872266</v>
      </c>
      <c r="G75" s="31">
        <f>+(G21/K21)-1</f>
        <v>-0.19617046591139387</v>
      </c>
      <c r="H75" s="30">
        <f>+(H21/155170)-1</f>
        <v>-0.12249790552297479</v>
      </c>
      <c r="I75" s="30">
        <f>+(I21/163720)-1</f>
        <v>-0.13221964329342784</v>
      </c>
      <c r="J75" s="32">
        <f>+(J21/158117)-1</f>
        <v>-0.05537671471125816</v>
      </c>
      <c r="K75" s="29">
        <f>+(K21/L21)-1</f>
        <v>0.02782406536404447</v>
      </c>
      <c r="L75" s="29">
        <f>+(L21/106760)-1</f>
        <v>0.39404271262645185</v>
      </c>
    </row>
    <row r="76" spans="1:12" ht="11.25">
      <c r="A76" s="1" t="s">
        <v>66</v>
      </c>
      <c r="C76" s="29">
        <f>(C24/G24)-1</f>
        <v>0.14265863825845293</v>
      </c>
      <c r="D76" s="29">
        <f>(D24/H24)-1</f>
        <v>0.08127753303964758</v>
      </c>
      <c r="E76" s="29">
        <f>(E24/I24)-1</f>
        <v>0.0642772829702758</v>
      </c>
      <c r="F76" s="30">
        <f>+(F24/J24)-1</f>
        <v>-0.08126531046969854</v>
      </c>
      <c r="G76" s="31">
        <f>+(G24/K24)-1</f>
        <v>-0.0932381352372953</v>
      </c>
      <c r="H76" s="30">
        <f>+(H24/9101)-1</f>
        <v>-0.002307438742995327</v>
      </c>
      <c r="I76" s="30">
        <f>+(I24/9139)-1</f>
        <v>0.019695809169493428</v>
      </c>
      <c r="J76" s="32">
        <f>+(I24/8924)-1</f>
        <v>0.04426266248319144</v>
      </c>
      <c r="K76" s="30">
        <f>+(K24/L24)-1</f>
        <v>0.03454268955029338</v>
      </c>
      <c r="L76" s="30">
        <f>+(L24/5424)-1</f>
        <v>0.6972713864306785</v>
      </c>
    </row>
    <row r="77" spans="1:12" ht="11.25">
      <c r="A77" s="2" t="s">
        <v>67</v>
      </c>
      <c r="B77" s="2"/>
      <c r="C77" s="33">
        <f>(C39/G39)-1</f>
        <v>-0.9401820546163849</v>
      </c>
      <c r="D77" s="33">
        <f>(D39/H39)-1</f>
        <v>-0.7828054298642534</v>
      </c>
      <c r="E77" s="33">
        <f>(E39/I39)-1</f>
        <v>-1.0148514851485149</v>
      </c>
      <c r="F77" s="33">
        <f>+(F39/J39)-1</f>
        <v>-1.455223880597015</v>
      </c>
      <c r="G77" s="34">
        <f>+(G39/K39)-1</f>
        <v>-2.0145118733509237</v>
      </c>
      <c r="H77" s="33">
        <f>+(H39/335)-1</f>
        <v>-2.319402985074627</v>
      </c>
      <c r="I77" s="33">
        <f>+(I39/373)-1</f>
        <v>-1.5415549597855227</v>
      </c>
      <c r="J77" s="35">
        <f>+(J39/220)-1</f>
        <v>-1.6090909090909091</v>
      </c>
      <c r="K77" s="33">
        <f>+(K39/L39)-1</f>
        <v>0.12797619047619047</v>
      </c>
      <c r="L77" s="33">
        <f>+(L39/33)-1</f>
        <v>19.363636363636363</v>
      </c>
    </row>
    <row r="79" ht="11.25">
      <c r="A79" s="1" t="s">
        <v>68</v>
      </c>
    </row>
    <row r="80" ht="11.25">
      <c r="A80" s="1" t="s">
        <v>69</v>
      </c>
    </row>
  </sheetData>
  <sheetProtection password="CD66" sheet="1" objects="1" scenarios="1"/>
  <mergeCells count="3">
    <mergeCell ref="G7:J7"/>
    <mergeCell ref="K7:L7"/>
    <mergeCell ref="C7:F7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252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2002-03-22T15:34:22Z</cp:lastPrinted>
  <dcterms:created xsi:type="dcterms:W3CDTF">2002-03-19T18:29:53Z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