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Banesco" sheetId="1" r:id="rId1"/>
  </sheets>
  <definedNames/>
  <calcPr fullCalcOnLoad="1"/>
</workbook>
</file>

<file path=xl/sharedStrings.xml><?xml version="1.0" encoding="utf-8"?>
<sst xmlns="http://schemas.openxmlformats.org/spreadsheetml/2006/main" count="84" uniqueCount="67">
  <si>
    <t xml:space="preserve"> CUADRO No. 19-24</t>
  </si>
  <si>
    <t>BANESCO INTERNACIONAL</t>
  </si>
  <si>
    <t>ESTADISTICA FINANCIERA. AÑOS 1999, TRIMESTRES DE 2000 Y 2001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</si>
  <si>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</si>
  <si>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</si>
  <si>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</si>
  <si>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</si>
  <si>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</si>
  <si>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</si>
  <si>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</si>
  <si>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</si>
  <si>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</si>
  <si>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</si>
  <si>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</si>
  <si>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</si>
  <si>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</si>
  <si>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</si>
  <si>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</si>
  <si>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</si>
  <si>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</si>
  <si>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</si>
  <si>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</si>
  <si>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</si>
  <si>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</si>
  <si>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</si>
  <si>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</si>
  <si>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</si>
  <si>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</si>
  <si>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</si>
  <si>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</si>
  <si>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</si>
  <si>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</si>
  <si>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</si>
  <si>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</si>
  <si>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</si>
  <si>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</si>
  <si>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</si>
  <si>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</si>
  <si>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</si>
  <si>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</si>
  <si>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</si>
  <si>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Total de Préstamos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</si>
  <si>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</si>
  <si>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</si>
  <si>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</si>
  <si>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</si>
  <si>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</si>
  <si>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</si>
  <si>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</si>
  <si>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</si>
  <si>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</si>
  <si>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</si>
  <si>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</si>
  <si>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</si>
  <si>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</si>
  <si>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</si>
  <si>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</si>
  <si>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</si>
  <si>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</si>
  <si>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</si>
  <si>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</si>
  <si>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</si>
  <si>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</si>
  <si>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</si>
  <si>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</si>
  <si>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</si>
  <si>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Utilidad Neta</t>
  </si>
</sst>
</file>

<file path=xl/styles.xml><?xml version="1.0" encoding="utf-8"?>
<styleSheet xmlns="http://schemas.openxmlformats.org/spreadsheetml/2006/main">
  <numFmts count="37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B/.&quot;\ #,##0;&quot;B/.&quot;\ \-#,##0"/>
    <numFmt numFmtId="165" formatCode="&quot;B/.&quot;\ #,##0;[Red]&quot;B/.&quot;\ \-#,##0"/>
    <numFmt numFmtId="166" formatCode="&quot;B/.&quot;\ #,##0.00;&quot;B/.&quot;\ \-#,##0.00"/>
    <numFmt numFmtId="167" formatCode="&quot;B/.&quot;\ #,##0.00;[Red]&quot;B/.&quot;\ \-#,##0.00"/>
    <numFmt numFmtId="168" formatCode="_ &quot;B/.&quot;\ * #,##0_ ;_ &quot;B/.&quot;\ * \-#,##0_ ;_ &quot;B/.&quot;\ * &quot;-&quot;_ ;_ @_ "/>
    <numFmt numFmtId="169" formatCode="_ * #,##0_ ;_ * \-#,##0_ ;_ * &quot;-&quot;_ ;_ @_ "/>
    <numFmt numFmtId="170" formatCode="_ &quot;B/.&quot;\ * #,##0.00_ ;_ &quot;B/.&quot;\ * \-#,##0.00_ ;_ &quot;B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0.000%"/>
    <numFmt numFmtId="191" formatCode="0_ ;\-0\ "/>
    <numFmt numFmtId="192" formatCode="_(* #,##0.00000_);_(* \(#,##0.00000\);_(* &quot;-&quot;??_);_(@_)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179" fontId="1" fillId="0" borderId="6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7" xfId="15" applyNumberFormat="1" applyFont="1" applyBorder="1" applyAlignment="1">
      <alignment/>
    </xf>
    <xf numFmtId="179" fontId="1" fillId="0" borderId="0" xfId="15" applyNumberFormat="1" applyFont="1" applyAlignment="1">
      <alignment/>
    </xf>
    <xf numFmtId="179" fontId="2" fillId="0" borderId="0" xfId="15" applyNumberFormat="1" applyFont="1" applyAlignment="1">
      <alignment/>
    </xf>
    <xf numFmtId="179" fontId="2" fillId="0" borderId="6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2" fillId="0" borderId="7" xfId="15" applyNumberFormat="1" applyFont="1" applyBorder="1" applyAlignment="1">
      <alignment/>
    </xf>
    <xf numFmtId="43" fontId="2" fillId="0" borderId="0" xfId="15" applyFont="1" applyAlignment="1">
      <alignment/>
    </xf>
    <xf numFmtId="179" fontId="2" fillId="0" borderId="1" xfId="15" applyNumberFormat="1" applyFont="1" applyBorder="1" applyAlignment="1">
      <alignment/>
    </xf>
    <xf numFmtId="179" fontId="2" fillId="0" borderId="8" xfId="15" applyNumberFormat="1" applyFont="1" applyBorder="1" applyAlignment="1">
      <alignment/>
    </xf>
    <xf numFmtId="179" fontId="2" fillId="0" borderId="9" xfId="15" applyNumberFormat="1" applyFont="1" applyBorder="1" applyAlignment="1">
      <alignment/>
    </xf>
    <xf numFmtId="179" fontId="2" fillId="0" borderId="1" xfId="15" applyNumberFormat="1" applyFont="1" applyFill="1" applyBorder="1" applyAlignment="1">
      <alignment/>
    </xf>
    <xf numFmtId="179" fontId="2" fillId="0" borderId="0" xfId="15" applyNumberFormat="1" applyFont="1" applyFill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3" fontId="2" fillId="0" borderId="0" xfId="15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0" xfId="19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10" fontId="2" fillId="0" borderId="7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8" xfId="19" applyNumberFormat="1" applyFont="1" applyBorder="1" applyAlignment="1">
      <alignment/>
    </xf>
    <xf numFmtId="10" fontId="2" fillId="0" borderId="9" xfId="19" applyNumberFormat="1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0" fontId="2" fillId="0" borderId="6" xfId="19" applyNumberFormat="1" applyFont="1" applyFill="1" applyBorder="1" applyAlignment="1">
      <alignment/>
    </xf>
    <xf numFmtId="10" fontId="2" fillId="0" borderId="0" xfId="19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0" fontId="2" fillId="0" borderId="1" xfId="19" applyNumberFormat="1" applyFont="1" applyFill="1" applyBorder="1" applyAlignment="1">
      <alignment/>
    </xf>
    <xf numFmtId="10" fontId="2" fillId="0" borderId="9" xfId="19" applyNumberFormat="1" applyFont="1" applyFill="1" applyBorder="1" applyAlignment="1">
      <alignment/>
    </xf>
    <xf numFmtId="182" fontId="2" fillId="0" borderId="0" xfId="19" applyNumberFormat="1" applyFont="1" applyAlignment="1">
      <alignment/>
    </xf>
    <xf numFmtId="182" fontId="2" fillId="0" borderId="1" xfId="19" applyNumberFormat="1" applyFont="1" applyBorder="1" applyAlignment="1">
      <alignment/>
    </xf>
    <xf numFmtId="10" fontId="2" fillId="0" borderId="8" xfId="19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7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" sqref="D3"/>
    </sheetView>
  </sheetViews>
  <sheetFormatPr defaultColWidth="11.421875" defaultRowHeight="12.75"/>
  <cols>
    <col min="1" max="1" width="3.421875" style="1" customWidth="1"/>
    <col min="2" max="2" width="38.421875" style="1" customWidth="1"/>
    <col min="3" max="3" width="7.7109375" style="1" bestFit="1" customWidth="1"/>
    <col min="4" max="4" width="8.7109375" style="1" bestFit="1" customWidth="1"/>
    <col min="5" max="7" width="7.7109375" style="1" bestFit="1" customWidth="1"/>
    <col min="8" max="8" width="8.7109375" style="1" bestFit="1" customWidth="1"/>
    <col min="9" max="11" width="6.8515625" style="1" bestFit="1" customWidth="1"/>
    <col min="12" max="12" width="5.7109375" style="1" hidden="1" customWidth="1"/>
    <col min="13" max="16384" width="11.421875" style="1" customWidth="1"/>
  </cols>
  <sheetData>
    <row r="1" ht="11.25"/>
    <row r="2" spans="2:12" ht="11.25">
      <c r="B2" s="51"/>
      <c r="C2" s="51"/>
      <c r="D2" s="51"/>
      <c r="E2" s="51"/>
      <c r="F2" s="51"/>
      <c r="G2" s="51" t="s">
        <v>0</v>
      </c>
      <c r="H2" s="51"/>
      <c r="I2" s="51"/>
      <c r="J2" s="51"/>
      <c r="K2" s="51"/>
      <c r="L2" s="51"/>
    </row>
    <row r="3" spans="2:12" ht="11.25">
      <c r="B3" s="51"/>
      <c r="C3" s="51"/>
      <c r="D3" s="51"/>
      <c r="E3" s="51"/>
      <c r="F3" s="51"/>
      <c r="G3" s="51" t="s">
        <v>1</v>
      </c>
      <c r="H3" s="51"/>
      <c r="I3" s="51"/>
      <c r="J3" s="51"/>
      <c r="K3" s="51"/>
      <c r="L3" s="51"/>
    </row>
    <row r="4" spans="2:12" ht="11.25">
      <c r="B4" s="51"/>
      <c r="C4" s="51"/>
      <c r="D4" s="51"/>
      <c r="E4" s="51"/>
      <c r="F4" s="51"/>
      <c r="G4" s="51" t="s">
        <v>2</v>
      </c>
      <c r="H4" s="51"/>
      <c r="I4" s="51"/>
      <c r="J4" s="51"/>
      <c r="K4" s="51"/>
      <c r="L4" s="51"/>
    </row>
    <row r="5" spans="2:12" ht="11.25">
      <c r="B5" s="50"/>
      <c r="C5" s="50"/>
      <c r="D5" s="50"/>
      <c r="E5" s="50"/>
      <c r="F5" s="50"/>
      <c r="G5" s="50" t="s">
        <v>3</v>
      </c>
      <c r="H5" s="50"/>
      <c r="I5" s="50"/>
      <c r="J5" s="50"/>
      <c r="K5" s="50"/>
      <c r="L5" s="50"/>
    </row>
    <row r="6" spans="1:12" ht="11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1.25">
      <c r="A7" s="3"/>
      <c r="B7" s="3"/>
      <c r="C7" s="53">
        <v>2001</v>
      </c>
      <c r="D7" s="53"/>
      <c r="E7" s="53"/>
      <c r="F7" s="54"/>
      <c r="G7" s="52">
        <v>2000</v>
      </c>
      <c r="H7" s="53"/>
      <c r="I7" s="53"/>
      <c r="J7" s="54"/>
      <c r="K7" s="53" t="s">
        <v>4</v>
      </c>
      <c r="L7" s="53"/>
    </row>
    <row r="8" spans="1:12" ht="11.25">
      <c r="A8" s="4"/>
      <c r="B8" s="4"/>
      <c r="C8" s="5" t="s">
        <v>5</v>
      </c>
      <c r="D8" s="5" t="s">
        <v>6</v>
      </c>
      <c r="E8" s="4" t="s">
        <v>7</v>
      </c>
      <c r="F8" s="4" t="s">
        <v>8</v>
      </c>
      <c r="G8" s="6" t="s">
        <v>5</v>
      </c>
      <c r="H8" s="5" t="s">
        <v>6</v>
      </c>
      <c r="I8" s="5" t="s">
        <v>7</v>
      </c>
      <c r="J8" s="7" t="s">
        <v>8</v>
      </c>
      <c r="K8" s="8" t="s">
        <v>9</v>
      </c>
      <c r="L8" s="8" t="s">
        <v>10</v>
      </c>
    </row>
    <row r="9" spans="1:12" ht="11.25">
      <c r="A9" s="9" t="s">
        <v>11</v>
      </c>
      <c r="B9" s="9"/>
      <c r="C9" s="9"/>
      <c r="D9" s="9"/>
      <c r="E9" s="9"/>
      <c r="F9" s="9"/>
      <c r="G9" s="10"/>
      <c r="H9" s="11"/>
      <c r="I9" s="11"/>
      <c r="J9" s="12"/>
      <c r="K9" s="13"/>
      <c r="L9" s="13"/>
    </row>
    <row r="10" spans="1:12" ht="11.25">
      <c r="A10" s="1" t="s">
        <v>12</v>
      </c>
      <c r="C10" s="14">
        <v>127122</v>
      </c>
      <c r="D10" s="14">
        <v>117343</v>
      </c>
      <c r="E10" s="14">
        <v>107754</v>
      </c>
      <c r="F10" s="14">
        <v>101795</v>
      </c>
      <c r="G10" s="15">
        <v>98432</v>
      </c>
      <c r="H10" s="16">
        <v>53412</v>
      </c>
      <c r="I10" s="16">
        <v>56679</v>
      </c>
      <c r="J10" s="17">
        <v>56058</v>
      </c>
      <c r="K10" s="14">
        <v>45869</v>
      </c>
      <c r="L10" s="14">
        <v>29478</v>
      </c>
    </row>
    <row r="11" spans="1:12" ht="11.25">
      <c r="A11" s="1" t="s">
        <v>13</v>
      </c>
      <c r="C11" s="14">
        <v>50708</v>
      </c>
      <c r="D11" s="14">
        <v>25512</v>
      </c>
      <c r="E11" s="14">
        <v>24255</v>
      </c>
      <c r="F11" s="14">
        <v>26450</v>
      </c>
      <c r="G11" s="15">
        <v>28072</v>
      </c>
      <c r="H11" s="16">
        <v>20551</v>
      </c>
      <c r="I11" s="16">
        <v>23808</v>
      </c>
      <c r="J11" s="17">
        <v>10271</v>
      </c>
      <c r="K11" s="14">
        <v>3868</v>
      </c>
      <c r="L11" s="14">
        <v>3807</v>
      </c>
    </row>
    <row r="12" spans="1:12" ht="11.25">
      <c r="A12" s="1" t="s">
        <v>14</v>
      </c>
      <c r="C12" s="14">
        <f aca="true" t="shared" si="0" ref="C12:L12">C13+C14</f>
        <v>70320</v>
      </c>
      <c r="D12" s="14">
        <f t="shared" si="0"/>
        <v>73516</v>
      </c>
      <c r="E12" s="14">
        <f t="shared" si="0"/>
        <v>76760</v>
      </c>
      <c r="F12" s="14">
        <f t="shared" si="0"/>
        <v>68836</v>
      </c>
      <c r="G12" s="15">
        <f t="shared" si="0"/>
        <v>65349</v>
      </c>
      <c r="H12" s="16">
        <f t="shared" si="0"/>
        <v>28398</v>
      </c>
      <c r="I12" s="16">
        <f t="shared" si="0"/>
        <v>28729</v>
      </c>
      <c r="J12" s="17">
        <f t="shared" si="0"/>
        <v>28678</v>
      </c>
      <c r="K12" s="14">
        <f t="shared" si="0"/>
        <v>28821</v>
      </c>
      <c r="L12" s="14">
        <f t="shared" si="0"/>
        <v>18157</v>
      </c>
    </row>
    <row r="13" spans="2:12" ht="11.25">
      <c r="B13" s="1" t="s">
        <v>15</v>
      </c>
      <c r="C13" s="18">
        <v>0</v>
      </c>
      <c r="D13" s="14">
        <v>0</v>
      </c>
      <c r="E13" s="14">
        <v>0</v>
      </c>
      <c r="F13" s="14">
        <v>0</v>
      </c>
      <c r="G13" s="15"/>
      <c r="H13" s="16"/>
      <c r="I13" s="16">
        <v>0</v>
      </c>
      <c r="J13" s="17">
        <v>0</v>
      </c>
      <c r="K13" s="14">
        <v>0</v>
      </c>
      <c r="L13" s="14">
        <v>0</v>
      </c>
    </row>
    <row r="14" spans="2:12" ht="11.25">
      <c r="B14" s="1" t="s">
        <v>16</v>
      </c>
      <c r="C14" s="14">
        <v>70320</v>
      </c>
      <c r="D14" s="14">
        <v>73516</v>
      </c>
      <c r="E14" s="14">
        <v>76760</v>
      </c>
      <c r="F14" s="14">
        <v>68836</v>
      </c>
      <c r="G14" s="15">
        <v>65349</v>
      </c>
      <c r="H14" s="16">
        <v>28398</v>
      </c>
      <c r="I14" s="16">
        <v>28729</v>
      </c>
      <c r="J14" s="17">
        <v>28678</v>
      </c>
      <c r="K14" s="14">
        <v>28821</v>
      </c>
      <c r="L14" s="14">
        <v>18157</v>
      </c>
    </row>
    <row r="15" spans="1:12" ht="11.25">
      <c r="A15" s="1" t="s">
        <v>17</v>
      </c>
      <c r="C15" s="14">
        <v>2909</v>
      </c>
      <c r="D15" s="14">
        <v>11589</v>
      </c>
      <c r="E15" s="14">
        <v>2571</v>
      </c>
      <c r="F15" s="14">
        <v>2570</v>
      </c>
      <c r="G15" s="15">
        <v>2582</v>
      </c>
      <c r="H15" s="16">
        <v>2581</v>
      </c>
      <c r="I15" s="16">
        <v>2579</v>
      </c>
      <c r="J15" s="17">
        <v>15612</v>
      </c>
      <c r="K15" s="14">
        <v>12380</v>
      </c>
      <c r="L15" s="14">
        <v>6898</v>
      </c>
    </row>
    <row r="16" spans="1:12" ht="11.25">
      <c r="A16" s="1" t="s">
        <v>18</v>
      </c>
      <c r="C16" s="14">
        <f aca="true" t="shared" si="1" ref="C16:L16">C17+C21</f>
        <v>112232</v>
      </c>
      <c r="D16" s="14">
        <f t="shared" si="1"/>
        <v>105686</v>
      </c>
      <c r="E16" s="14">
        <f t="shared" si="1"/>
        <v>97527</v>
      </c>
      <c r="F16" s="14">
        <f t="shared" si="1"/>
        <v>91967</v>
      </c>
      <c r="G16" s="15">
        <f t="shared" si="1"/>
        <v>87068</v>
      </c>
      <c r="H16" s="16">
        <f t="shared" si="1"/>
        <v>45199</v>
      </c>
      <c r="I16" s="16">
        <f t="shared" si="1"/>
        <v>47555</v>
      </c>
      <c r="J16" s="17">
        <f t="shared" si="1"/>
        <v>43959</v>
      </c>
      <c r="K16" s="14">
        <f t="shared" si="1"/>
        <v>34488</v>
      </c>
      <c r="L16" s="14">
        <f t="shared" si="1"/>
        <v>23543</v>
      </c>
    </row>
    <row r="17" spans="2:12" ht="11.25">
      <c r="B17" s="1" t="s">
        <v>15</v>
      </c>
      <c r="C17" s="14">
        <f aca="true" t="shared" si="2" ref="C17:L17">SUM(C18:C20)</f>
        <v>0</v>
      </c>
      <c r="D17" s="14">
        <f t="shared" si="2"/>
        <v>0</v>
      </c>
      <c r="E17" s="14">
        <f t="shared" si="2"/>
        <v>0</v>
      </c>
      <c r="F17" s="14">
        <f t="shared" si="2"/>
        <v>0</v>
      </c>
      <c r="G17" s="15">
        <f t="shared" si="2"/>
        <v>0</v>
      </c>
      <c r="H17" s="16">
        <f t="shared" si="2"/>
        <v>0</v>
      </c>
      <c r="I17" s="16">
        <f t="shared" si="2"/>
        <v>0</v>
      </c>
      <c r="J17" s="17">
        <f t="shared" si="2"/>
        <v>0</v>
      </c>
      <c r="K17" s="14">
        <f t="shared" si="2"/>
        <v>0</v>
      </c>
      <c r="L17" s="14">
        <f t="shared" si="2"/>
        <v>0</v>
      </c>
    </row>
    <row r="18" spans="2:12" ht="11.25">
      <c r="B18" s="1" t="s">
        <v>19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  <c r="H18" s="16">
        <v>0</v>
      </c>
      <c r="I18" s="16">
        <v>0</v>
      </c>
      <c r="J18" s="17">
        <v>0</v>
      </c>
      <c r="K18" s="14">
        <v>0</v>
      </c>
      <c r="L18" s="14">
        <v>0</v>
      </c>
    </row>
    <row r="19" spans="2:12" ht="11.25">
      <c r="B19" s="1" t="s">
        <v>20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  <c r="H19" s="16">
        <v>0</v>
      </c>
      <c r="I19" s="16">
        <v>0</v>
      </c>
      <c r="J19" s="17">
        <v>0</v>
      </c>
      <c r="K19" s="14">
        <v>0</v>
      </c>
      <c r="L19" s="14">
        <v>0</v>
      </c>
    </row>
    <row r="20" spans="2:12" ht="11.25">
      <c r="B20" s="1" t="s">
        <v>21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  <c r="H20" s="16">
        <v>0</v>
      </c>
      <c r="I20" s="16">
        <v>0</v>
      </c>
      <c r="J20" s="17">
        <v>0</v>
      </c>
      <c r="K20" s="14">
        <v>0</v>
      </c>
      <c r="L20" s="14">
        <v>0</v>
      </c>
    </row>
    <row r="21" spans="2:12" ht="11.25">
      <c r="B21" s="1" t="s">
        <v>16</v>
      </c>
      <c r="C21" s="14">
        <f aca="true" t="shared" si="3" ref="C21:L21">SUM(C22:C23)</f>
        <v>112232</v>
      </c>
      <c r="D21" s="14">
        <f t="shared" si="3"/>
        <v>105686</v>
      </c>
      <c r="E21" s="14">
        <f t="shared" si="3"/>
        <v>97527</v>
      </c>
      <c r="F21" s="14">
        <f t="shared" si="3"/>
        <v>91967</v>
      </c>
      <c r="G21" s="15">
        <f t="shared" si="3"/>
        <v>87068</v>
      </c>
      <c r="H21" s="16">
        <f t="shared" si="3"/>
        <v>45199</v>
      </c>
      <c r="I21" s="16">
        <f t="shared" si="3"/>
        <v>47555</v>
      </c>
      <c r="J21" s="17">
        <f t="shared" si="3"/>
        <v>43959</v>
      </c>
      <c r="K21" s="14">
        <f t="shared" si="3"/>
        <v>34488</v>
      </c>
      <c r="L21" s="14">
        <f t="shared" si="3"/>
        <v>23543</v>
      </c>
    </row>
    <row r="22" spans="2:12" ht="11.25">
      <c r="B22" s="1" t="s">
        <v>20</v>
      </c>
      <c r="C22" s="14">
        <f>74072+2646</f>
        <v>76718</v>
      </c>
      <c r="D22" s="14">
        <f>1889+71088</f>
        <v>72977</v>
      </c>
      <c r="E22" s="14">
        <v>64414</v>
      </c>
      <c r="F22" s="14">
        <v>62908</v>
      </c>
      <c r="G22" s="15">
        <f>1421+57718</f>
        <v>59139</v>
      </c>
      <c r="H22" s="16">
        <v>42230</v>
      </c>
      <c r="I22" s="16">
        <v>42509</v>
      </c>
      <c r="J22" s="17">
        <v>38587</v>
      </c>
      <c r="K22" s="14">
        <v>31748</v>
      </c>
      <c r="L22" s="14">
        <v>21123</v>
      </c>
    </row>
    <row r="23" spans="2:12" ht="11.25">
      <c r="B23" s="1" t="s">
        <v>21</v>
      </c>
      <c r="C23" s="14">
        <f>7+35507</f>
        <v>35514</v>
      </c>
      <c r="D23" s="14">
        <v>32709</v>
      </c>
      <c r="E23" s="14">
        <v>33113</v>
      </c>
      <c r="F23" s="14">
        <v>29059</v>
      </c>
      <c r="G23" s="15">
        <f>70+15143+12716</f>
        <v>27929</v>
      </c>
      <c r="H23" s="16">
        <v>2969</v>
      </c>
      <c r="I23" s="16">
        <v>5046</v>
      </c>
      <c r="J23" s="17">
        <v>5372</v>
      </c>
      <c r="K23" s="14">
        <v>2740</v>
      </c>
      <c r="L23" s="14">
        <v>2420</v>
      </c>
    </row>
    <row r="24" spans="1:12" ht="11.25">
      <c r="A24" s="2" t="s">
        <v>22</v>
      </c>
      <c r="B24" s="2"/>
      <c r="C24" s="19">
        <v>10728</v>
      </c>
      <c r="D24" s="19">
        <v>9316</v>
      </c>
      <c r="E24" s="19">
        <v>8648</v>
      </c>
      <c r="F24" s="19">
        <v>8236</v>
      </c>
      <c r="G24" s="20">
        <v>7875</v>
      </c>
      <c r="H24" s="19">
        <v>7611</v>
      </c>
      <c r="I24" s="19">
        <v>7325</v>
      </c>
      <c r="J24" s="21">
        <v>6582</v>
      </c>
      <c r="K24" s="19">
        <v>5890</v>
      </c>
      <c r="L24" s="22">
        <v>5614</v>
      </c>
    </row>
    <row r="25" spans="1:12" ht="11.25">
      <c r="A25" s="9" t="s">
        <v>23</v>
      </c>
      <c r="G25" s="15"/>
      <c r="H25" s="16"/>
      <c r="I25" s="16"/>
      <c r="J25" s="17"/>
      <c r="K25" s="14"/>
      <c r="L25" s="23"/>
    </row>
    <row r="26" spans="1:12" ht="11.25">
      <c r="A26" s="1" t="s">
        <v>12</v>
      </c>
      <c r="C26" s="14">
        <f>(C10+G10)/2</f>
        <v>112777</v>
      </c>
      <c r="D26" s="14">
        <f>(D10+H10)/2</f>
        <v>85377.5</v>
      </c>
      <c r="E26" s="14">
        <f>(E10+I10)/2</f>
        <v>82216.5</v>
      </c>
      <c r="F26" s="14">
        <f>+(F10+J10)/2</f>
        <v>78926.5</v>
      </c>
      <c r="G26" s="15">
        <f>+(G10+K10)/2</f>
        <v>72150.5</v>
      </c>
      <c r="H26" s="16">
        <f>+(43375+H10)/2</f>
        <v>48393.5</v>
      </c>
      <c r="I26" s="16">
        <f>+(35055+I10)/2</f>
        <v>45867</v>
      </c>
      <c r="J26" s="17">
        <f>+(33738+J10)/2</f>
        <v>44898</v>
      </c>
      <c r="K26" s="14">
        <f>+(K10+L10)/2</f>
        <v>37673.5</v>
      </c>
      <c r="L26" s="14">
        <f>+(27584+L10)/2</f>
        <v>28531</v>
      </c>
    </row>
    <row r="27" spans="1:12" ht="11.25">
      <c r="A27" s="1" t="s">
        <v>24</v>
      </c>
      <c r="C27" s="14">
        <f aca="true" t="shared" si="4" ref="C27:L27">C28+C29</f>
        <v>70580</v>
      </c>
      <c r="D27" s="14">
        <f t="shared" si="4"/>
        <v>58042</v>
      </c>
      <c r="E27" s="14">
        <f t="shared" si="4"/>
        <v>55319.5</v>
      </c>
      <c r="F27" s="14">
        <f t="shared" si="4"/>
        <v>57848</v>
      </c>
      <c r="G27" s="15">
        <f t="shared" si="4"/>
        <v>54566</v>
      </c>
      <c r="H27" s="16">
        <f t="shared" si="4"/>
        <v>32961</v>
      </c>
      <c r="I27" s="16">
        <f t="shared" si="4"/>
        <v>30751</v>
      </c>
      <c r="J27" s="17">
        <f t="shared" si="4"/>
        <v>36013.5</v>
      </c>
      <c r="K27" s="14">
        <f t="shared" si="4"/>
        <v>33128</v>
      </c>
      <c r="L27" s="14">
        <f t="shared" si="4"/>
        <v>24988</v>
      </c>
    </row>
    <row r="28" spans="2:12" ht="11.25">
      <c r="B28" s="1" t="s">
        <v>14</v>
      </c>
      <c r="C28" s="14">
        <f>(C12+G12)/2</f>
        <v>67834.5</v>
      </c>
      <c r="D28" s="14">
        <f>(D12+H12)/2</f>
        <v>50957</v>
      </c>
      <c r="E28" s="14">
        <f>(E12+I12)/2</f>
        <v>52744.5</v>
      </c>
      <c r="F28" s="14">
        <f>+(F12+J12)/2</f>
        <v>48757</v>
      </c>
      <c r="G28" s="15">
        <f>+(G12+K12)/2</f>
        <v>47085</v>
      </c>
      <c r="H28" s="16">
        <f>+(27325+H12)/2</f>
        <v>27861.5</v>
      </c>
      <c r="I28" s="16">
        <f>+(26103+I12)/2</f>
        <v>27416</v>
      </c>
      <c r="J28" s="17">
        <f>+(17848+J12)/2</f>
        <v>23263</v>
      </c>
      <c r="K28" s="14">
        <f>+(K12+L12)/2</f>
        <v>23489</v>
      </c>
      <c r="L28" s="14">
        <f>+(15981+L12)/2</f>
        <v>17069</v>
      </c>
    </row>
    <row r="29" spans="2:12" ht="11.25">
      <c r="B29" s="1" t="s">
        <v>17</v>
      </c>
      <c r="C29" s="14">
        <f>(C15+G15)/2</f>
        <v>2745.5</v>
      </c>
      <c r="D29" s="14">
        <f>(D15+H15)/2</f>
        <v>7085</v>
      </c>
      <c r="E29" s="14">
        <f>(E15+I15)/2</f>
        <v>2575</v>
      </c>
      <c r="F29" s="14">
        <f>+(F15+J15)/2</f>
        <v>9091</v>
      </c>
      <c r="G29" s="15">
        <f>+(G15+K15)/2</f>
        <v>7481</v>
      </c>
      <c r="H29" s="16">
        <f>+(7618+H15)/2</f>
        <v>5099.5</v>
      </c>
      <c r="I29" s="16">
        <f>+(4091+I15)/2</f>
        <v>3335</v>
      </c>
      <c r="J29" s="17">
        <f>+(9889+J15)/2</f>
        <v>12750.5</v>
      </c>
      <c r="K29" s="14">
        <f>+(K15+L15)/2</f>
        <v>9639</v>
      </c>
      <c r="L29" s="14">
        <f>+(8940+L15)/2</f>
        <v>7919</v>
      </c>
    </row>
    <row r="30" spans="1:12" ht="11.25">
      <c r="A30" s="2" t="s">
        <v>22</v>
      </c>
      <c r="B30" s="2"/>
      <c r="C30" s="19">
        <f>(C24+G24)/2</f>
        <v>9301.5</v>
      </c>
      <c r="D30" s="19">
        <f>(D24+H24)/2</f>
        <v>8463.5</v>
      </c>
      <c r="E30" s="19">
        <f>(E24+I24)/2</f>
        <v>7986.5</v>
      </c>
      <c r="F30" s="19">
        <f>+(F24+J24)/2</f>
        <v>7409</v>
      </c>
      <c r="G30" s="20">
        <f>+(G24+K24)/2</f>
        <v>6882.5</v>
      </c>
      <c r="H30" s="19">
        <f>+(5403+H24)/2</f>
        <v>6507</v>
      </c>
      <c r="I30" s="19">
        <f>+(4907+I24)/2</f>
        <v>6116</v>
      </c>
      <c r="J30" s="21">
        <f>+(5768+J24)/2</f>
        <v>6175</v>
      </c>
      <c r="K30" s="19">
        <f>+(K24+L24)/2</f>
        <v>5752</v>
      </c>
      <c r="L30" s="19">
        <f>+(9678+L24)/2</f>
        <v>7646</v>
      </c>
    </row>
    <row r="31" spans="1:10" ht="11.25">
      <c r="A31" s="9" t="s">
        <v>25</v>
      </c>
      <c r="G31" s="24"/>
      <c r="H31" s="25"/>
      <c r="I31" s="25"/>
      <c r="J31" s="26"/>
    </row>
    <row r="32" spans="1:12" ht="11.25">
      <c r="A32" s="1" t="s">
        <v>26</v>
      </c>
      <c r="C32" s="14">
        <v>15743</v>
      </c>
      <c r="D32" s="14">
        <v>11405</v>
      </c>
      <c r="E32" s="14">
        <v>7517</v>
      </c>
      <c r="F32" s="14">
        <v>3593</v>
      </c>
      <c r="G32" s="15">
        <v>6478</v>
      </c>
      <c r="H32" s="16">
        <v>4084</v>
      </c>
      <c r="I32" s="16">
        <v>2767</v>
      </c>
      <c r="J32" s="17">
        <v>1256</v>
      </c>
      <c r="K32" s="14">
        <v>4000</v>
      </c>
      <c r="L32" s="14">
        <v>4389</v>
      </c>
    </row>
    <row r="33" spans="1:12" ht="11.25">
      <c r="A33" s="1" t="s">
        <v>27</v>
      </c>
      <c r="C33" s="14">
        <v>9338</v>
      </c>
      <c r="D33" s="14">
        <v>7286</v>
      </c>
      <c r="E33" s="14">
        <v>4861</v>
      </c>
      <c r="F33" s="14">
        <v>2470</v>
      </c>
      <c r="G33" s="15">
        <v>4198</v>
      </c>
      <c r="H33" s="16">
        <v>2534</v>
      </c>
      <c r="I33" s="16">
        <v>1510</v>
      </c>
      <c r="J33" s="17">
        <v>717</v>
      </c>
      <c r="K33" s="14">
        <v>1967</v>
      </c>
      <c r="L33" s="14">
        <v>1137</v>
      </c>
    </row>
    <row r="34" spans="1:12" ht="11.25">
      <c r="A34" s="1" t="s">
        <v>28</v>
      </c>
      <c r="C34" s="14">
        <f>+C32-C33</f>
        <v>6405</v>
      </c>
      <c r="D34" s="14">
        <f aca="true" t="shared" si="5" ref="D34:L34">D32-D33</f>
        <v>4119</v>
      </c>
      <c r="E34" s="14">
        <f t="shared" si="5"/>
        <v>2656</v>
      </c>
      <c r="F34" s="14">
        <f t="shared" si="5"/>
        <v>1123</v>
      </c>
      <c r="G34" s="15">
        <f t="shared" si="5"/>
        <v>2280</v>
      </c>
      <c r="H34" s="16">
        <f t="shared" si="5"/>
        <v>1550</v>
      </c>
      <c r="I34" s="16">
        <f t="shared" si="5"/>
        <v>1257</v>
      </c>
      <c r="J34" s="17">
        <f t="shared" si="5"/>
        <v>539</v>
      </c>
      <c r="K34" s="14">
        <f t="shared" si="5"/>
        <v>2033</v>
      </c>
      <c r="L34" s="14">
        <f t="shared" si="5"/>
        <v>3252</v>
      </c>
    </row>
    <row r="35" spans="1:12" ht="11.25">
      <c r="A35" s="1" t="s">
        <v>29</v>
      </c>
      <c r="C35" s="14">
        <v>3494</v>
      </c>
      <c r="D35" s="14">
        <v>2783</v>
      </c>
      <c r="E35" s="14">
        <v>1253</v>
      </c>
      <c r="F35" s="14">
        <v>513</v>
      </c>
      <c r="G35" s="15">
        <v>2293</v>
      </c>
      <c r="H35" s="16">
        <v>1919</v>
      </c>
      <c r="I35" s="16">
        <v>1727</v>
      </c>
      <c r="J35" s="17">
        <v>432</v>
      </c>
      <c r="K35" s="14">
        <v>1352</v>
      </c>
      <c r="L35" s="14">
        <v>594</v>
      </c>
    </row>
    <row r="36" spans="1:12" ht="11.25">
      <c r="A36" s="1" t="s">
        <v>30</v>
      </c>
      <c r="C36" s="14">
        <f>+C35+C34</f>
        <v>9899</v>
      </c>
      <c r="D36" s="14">
        <f aca="true" t="shared" si="6" ref="D36:L36">D34+D35</f>
        <v>6902</v>
      </c>
      <c r="E36" s="14">
        <f t="shared" si="6"/>
        <v>3909</v>
      </c>
      <c r="F36" s="14">
        <f t="shared" si="6"/>
        <v>1636</v>
      </c>
      <c r="G36" s="15">
        <f t="shared" si="6"/>
        <v>4573</v>
      </c>
      <c r="H36" s="16">
        <f t="shared" si="6"/>
        <v>3469</v>
      </c>
      <c r="I36" s="16">
        <f t="shared" si="6"/>
        <v>2984</v>
      </c>
      <c r="J36" s="17">
        <f t="shared" si="6"/>
        <v>971</v>
      </c>
      <c r="K36" s="14">
        <f t="shared" si="6"/>
        <v>3385</v>
      </c>
      <c r="L36" s="14">
        <f t="shared" si="6"/>
        <v>3846</v>
      </c>
    </row>
    <row r="37" spans="1:13" ht="11.25">
      <c r="A37" s="1" t="s">
        <v>31</v>
      </c>
      <c r="C37" s="14">
        <v>5209</v>
      </c>
      <c r="D37" s="14">
        <v>3703</v>
      </c>
      <c r="E37" s="14">
        <v>2135</v>
      </c>
      <c r="F37" s="14">
        <v>1275</v>
      </c>
      <c r="G37" s="15">
        <v>2702</v>
      </c>
      <c r="H37" s="16">
        <v>1864</v>
      </c>
      <c r="I37" s="16">
        <v>1739</v>
      </c>
      <c r="J37" s="17">
        <v>468</v>
      </c>
      <c r="K37" s="14">
        <v>928</v>
      </c>
      <c r="L37" s="14">
        <v>1013</v>
      </c>
      <c r="M37" s="14"/>
    </row>
    <row r="38" spans="1:12" ht="11.25">
      <c r="A38" s="1" t="s">
        <v>32</v>
      </c>
      <c r="C38" s="14">
        <f>+C36-C37</f>
        <v>4690</v>
      </c>
      <c r="D38" s="14">
        <f aca="true" t="shared" si="7" ref="D38:L38">D36-D37</f>
        <v>3199</v>
      </c>
      <c r="E38" s="14">
        <f t="shared" si="7"/>
        <v>1774</v>
      </c>
      <c r="F38" s="14">
        <f t="shared" si="7"/>
        <v>361</v>
      </c>
      <c r="G38" s="15">
        <f t="shared" si="7"/>
        <v>1871</v>
      </c>
      <c r="H38" s="16">
        <f t="shared" si="7"/>
        <v>1605</v>
      </c>
      <c r="I38" s="16">
        <f t="shared" si="7"/>
        <v>1245</v>
      </c>
      <c r="J38" s="17">
        <f t="shared" si="7"/>
        <v>503</v>
      </c>
      <c r="K38" s="14">
        <f t="shared" si="7"/>
        <v>2457</v>
      </c>
      <c r="L38" s="14">
        <f t="shared" si="7"/>
        <v>2833</v>
      </c>
    </row>
    <row r="39" spans="1:12" ht="11.25">
      <c r="A39" s="2" t="s">
        <v>33</v>
      </c>
      <c r="B39" s="2"/>
      <c r="C39" s="19">
        <f>+C38-837</f>
        <v>3853</v>
      </c>
      <c r="D39" s="19">
        <v>2441</v>
      </c>
      <c r="E39" s="19">
        <v>1773</v>
      </c>
      <c r="F39" s="19">
        <v>361</v>
      </c>
      <c r="G39" s="20">
        <v>1798</v>
      </c>
      <c r="H39" s="19">
        <v>1532</v>
      </c>
      <c r="I39" s="19">
        <v>1245</v>
      </c>
      <c r="J39" s="21">
        <v>503</v>
      </c>
      <c r="K39" s="19">
        <v>2457</v>
      </c>
      <c r="L39" s="19">
        <v>2820</v>
      </c>
    </row>
    <row r="40" spans="1:12" ht="11.25">
      <c r="A40" s="27" t="s">
        <v>34</v>
      </c>
      <c r="B40" s="3"/>
      <c r="C40" s="25"/>
      <c r="D40" s="25"/>
      <c r="E40" s="14"/>
      <c r="F40" s="3"/>
      <c r="G40" s="28"/>
      <c r="H40" s="3"/>
      <c r="I40" s="3"/>
      <c r="J40" s="29"/>
      <c r="K40" s="3"/>
      <c r="L40" s="3"/>
    </row>
    <row r="41" spans="1:12" ht="11.25">
      <c r="A41" s="25" t="s">
        <v>35</v>
      </c>
      <c r="B41" s="25"/>
      <c r="C41" s="16">
        <v>1128</v>
      </c>
      <c r="D41" s="30">
        <v>0</v>
      </c>
      <c r="E41" s="14">
        <v>0</v>
      </c>
      <c r="F41" s="16">
        <v>0</v>
      </c>
      <c r="G41" s="15">
        <v>0</v>
      </c>
      <c r="H41" s="16">
        <v>0</v>
      </c>
      <c r="I41" s="16">
        <v>0</v>
      </c>
      <c r="J41" s="17">
        <v>0</v>
      </c>
      <c r="K41" s="16">
        <v>0</v>
      </c>
      <c r="L41" s="16">
        <v>0</v>
      </c>
    </row>
    <row r="42" spans="1:12" ht="11.25">
      <c r="A42" s="25" t="s">
        <v>36</v>
      </c>
      <c r="B42" s="25"/>
      <c r="C42" s="16">
        <v>1983</v>
      </c>
      <c r="D42" s="30">
        <v>0</v>
      </c>
      <c r="E42" s="14">
        <v>0</v>
      </c>
      <c r="F42" s="16">
        <v>0</v>
      </c>
      <c r="G42" s="15">
        <v>0</v>
      </c>
      <c r="H42" s="16">
        <v>0</v>
      </c>
      <c r="I42" s="16">
        <v>0</v>
      </c>
      <c r="J42" s="17">
        <v>0</v>
      </c>
      <c r="K42" s="16">
        <v>0</v>
      </c>
      <c r="L42" s="16">
        <v>0</v>
      </c>
    </row>
    <row r="43" spans="1:12" ht="11.25">
      <c r="A43" s="25" t="s">
        <v>37</v>
      </c>
      <c r="B43" s="25"/>
      <c r="C43" s="31">
        <f>C41/C12</f>
        <v>0.016040955631399317</v>
      </c>
      <c r="D43" s="31">
        <f>D41/D12</f>
        <v>0</v>
      </c>
      <c r="E43" s="31">
        <f>E41/E12</f>
        <v>0</v>
      </c>
      <c r="F43" s="32">
        <v>0</v>
      </c>
      <c r="G43" s="33">
        <v>0</v>
      </c>
      <c r="H43" s="32">
        <v>0</v>
      </c>
      <c r="I43" s="32">
        <v>0</v>
      </c>
      <c r="J43" s="34">
        <v>0</v>
      </c>
      <c r="K43" s="32">
        <v>0</v>
      </c>
      <c r="L43" s="32">
        <v>0</v>
      </c>
    </row>
    <row r="44" spans="1:12" ht="11.25">
      <c r="A44" s="25" t="s">
        <v>38</v>
      </c>
      <c r="B44" s="25"/>
      <c r="C44" s="31">
        <f>+C42/C41</f>
        <v>1.7579787234042554</v>
      </c>
      <c r="D44" s="31">
        <v>0</v>
      </c>
      <c r="E44" s="31">
        <v>0</v>
      </c>
      <c r="F44" s="32">
        <v>0</v>
      </c>
      <c r="G44" s="33">
        <v>0</v>
      </c>
      <c r="H44" s="32">
        <v>0</v>
      </c>
      <c r="I44" s="32">
        <v>0</v>
      </c>
      <c r="J44" s="34">
        <v>0</v>
      </c>
      <c r="K44" s="32">
        <v>0</v>
      </c>
      <c r="L44" s="32">
        <v>0</v>
      </c>
    </row>
    <row r="45" spans="1:12" ht="11.25">
      <c r="A45" s="2" t="s">
        <v>39</v>
      </c>
      <c r="B45" s="2"/>
      <c r="C45" s="35">
        <f>C42/C12</f>
        <v>0.028199658703071673</v>
      </c>
      <c r="D45" s="35">
        <f>D42/D12</f>
        <v>0</v>
      </c>
      <c r="E45" s="35">
        <f>E42/E12</f>
        <v>0</v>
      </c>
      <c r="F45" s="35">
        <v>0</v>
      </c>
      <c r="G45" s="36">
        <v>0</v>
      </c>
      <c r="H45" s="35">
        <v>0</v>
      </c>
      <c r="I45" s="35">
        <v>0</v>
      </c>
      <c r="J45" s="37">
        <v>0</v>
      </c>
      <c r="K45" s="35">
        <v>0</v>
      </c>
      <c r="L45" s="35">
        <v>0</v>
      </c>
    </row>
    <row r="46" spans="1:12" s="39" customFormat="1" ht="11.25">
      <c r="A46" s="38" t="s">
        <v>40</v>
      </c>
      <c r="C46" s="40"/>
      <c r="D46" s="40"/>
      <c r="E46" s="40"/>
      <c r="F46" s="41"/>
      <c r="G46" s="40"/>
      <c r="H46" s="40"/>
      <c r="I46" s="40"/>
      <c r="J46" s="41"/>
      <c r="K46" s="40"/>
      <c r="L46" s="40"/>
    </row>
    <row r="47" spans="1:12" s="39" customFormat="1" ht="11.25">
      <c r="A47" s="39" t="s">
        <v>41</v>
      </c>
      <c r="C47" s="42">
        <f aca="true" t="shared" si="8" ref="C47:L47">+C24/C12</f>
        <v>0.15255972696245734</v>
      </c>
      <c r="D47" s="43">
        <f t="shared" si="8"/>
        <v>0.12672071385820774</v>
      </c>
      <c r="E47" s="43">
        <f t="shared" si="8"/>
        <v>0.11266284523189161</v>
      </c>
      <c r="F47" s="43">
        <f t="shared" si="8"/>
        <v>0.11964669649601953</v>
      </c>
      <c r="G47" s="43">
        <f t="shared" si="8"/>
        <v>0.12050681724280402</v>
      </c>
      <c r="H47" s="43">
        <f t="shared" si="8"/>
        <v>0.2680118318191422</v>
      </c>
      <c r="I47" s="43">
        <f t="shared" si="8"/>
        <v>0.2549688468098437</v>
      </c>
      <c r="J47" s="43">
        <f t="shared" si="8"/>
        <v>0.22951391310412161</v>
      </c>
      <c r="K47" s="43">
        <f t="shared" si="8"/>
        <v>0.20436487283577948</v>
      </c>
      <c r="L47" s="43">
        <f t="shared" si="8"/>
        <v>0.30919204714435206</v>
      </c>
    </row>
    <row r="48" spans="1:12" s="39" customFormat="1" ht="11.25">
      <c r="A48" s="44" t="s">
        <v>42</v>
      </c>
      <c r="B48" s="44"/>
      <c r="C48" s="45">
        <f aca="true" t="shared" si="9" ref="C48:L48">C24/(C12+C15)</f>
        <v>0.14649933769408294</v>
      </c>
      <c r="D48" s="45">
        <f t="shared" si="9"/>
        <v>0.10946477880265554</v>
      </c>
      <c r="E48" s="45">
        <f t="shared" si="9"/>
        <v>0.10901160958515586</v>
      </c>
      <c r="F48" s="46">
        <f t="shared" si="9"/>
        <v>0.11534044758143573</v>
      </c>
      <c r="G48" s="45">
        <f t="shared" si="9"/>
        <v>0.11592645478500242</v>
      </c>
      <c r="H48" s="45">
        <f t="shared" si="9"/>
        <v>0.2456825591529746</v>
      </c>
      <c r="I48" s="45">
        <f t="shared" si="9"/>
        <v>0.23396575955027468</v>
      </c>
      <c r="J48" s="46">
        <f t="shared" si="9"/>
        <v>0.1486114247008354</v>
      </c>
      <c r="K48" s="45">
        <f t="shared" si="9"/>
        <v>0.14295769520157278</v>
      </c>
      <c r="L48" s="45">
        <f t="shared" si="9"/>
        <v>0.224067052484534</v>
      </c>
    </row>
    <row r="49" spans="1:10" ht="11.25">
      <c r="A49" s="9" t="s">
        <v>43</v>
      </c>
      <c r="G49" s="24"/>
      <c r="H49" s="25"/>
      <c r="I49" s="25"/>
      <c r="J49" s="26"/>
    </row>
    <row r="50" spans="1:12" ht="11.25">
      <c r="A50" s="1" t="s">
        <v>44</v>
      </c>
      <c r="C50" s="47">
        <f aca="true" t="shared" si="10" ref="C50:L50">C11/C16</f>
        <v>0.45181409936559985</v>
      </c>
      <c r="D50" s="47">
        <f t="shared" si="10"/>
        <v>0.24139431902049469</v>
      </c>
      <c r="E50" s="47">
        <f t="shared" si="10"/>
        <v>0.2487003599003353</v>
      </c>
      <c r="F50" s="31">
        <f t="shared" si="10"/>
        <v>0.28760316200376224</v>
      </c>
      <c r="G50" s="33">
        <f t="shared" si="10"/>
        <v>0.3224146644002389</v>
      </c>
      <c r="H50" s="32">
        <f t="shared" si="10"/>
        <v>0.4546782008451514</v>
      </c>
      <c r="I50" s="32">
        <f t="shared" si="10"/>
        <v>0.5006413626327411</v>
      </c>
      <c r="J50" s="34">
        <f t="shared" si="10"/>
        <v>0.23364953706863215</v>
      </c>
      <c r="K50" s="31">
        <f t="shared" si="10"/>
        <v>0.11215495244722802</v>
      </c>
      <c r="L50" s="31">
        <f t="shared" si="10"/>
        <v>0.16170411587308328</v>
      </c>
    </row>
    <row r="51" spans="1:12" ht="11.25">
      <c r="A51" s="1" t="s">
        <v>45</v>
      </c>
      <c r="C51" s="47">
        <f aca="true" t="shared" si="11" ref="C51:L51">C11/C10</f>
        <v>0.3988924025739054</v>
      </c>
      <c r="D51" s="47">
        <f t="shared" si="11"/>
        <v>0.21741390624067902</v>
      </c>
      <c r="E51" s="47">
        <f t="shared" si="11"/>
        <v>0.22509605211871486</v>
      </c>
      <c r="F51" s="31">
        <f t="shared" si="11"/>
        <v>0.2598359447910015</v>
      </c>
      <c r="G51" s="33">
        <f t="shared" si="11"/>
        <v>0.2851918075422627</v>
      </c>
      <c r="H51" s="32">
        <f t="shared" si="11"/>
        <v>0.38476372350782595</v>
      </c>
      <c r="I51" s="32">
        <f t="shared" si="11"/>
        <v>0.42004975387709736</v>
      </c>
      <c r="J51" s="34">
        <f t="shared" si="11"/>
        <v>0.18322094973063613</v>
      </c>
      <c r="K51" s="31">
        <f t="shared" si="11"/>
        <v>0.08432710545248424</v>
      </c>
      <c r="L51" s="31">
        <f t="shared" si="11"/>
        <v>0.12914716059434153</v>
      </c>
    </row>
    <row r="52" spans="1:12" ht="11.25">
      <c r="A52" s="2" t="s">
        <v>46</v>
      </c>
      <c r="B52" s="2"/>
      <c r="C52" s="48">
        <f aca="true" t="shared" si="12" ref="C52:L52">(C11+C15)/C16</f>
        <v>0.4777336232090669</v>
      </c>
      <c r="D52" s="48">
        <f t="shared" si="12"/>
        <v>0.35104933482201994</v>
      </c>
      <c r="E52" s="48">
        <f t="shared" si="12"/>
        <v>0.27506229044264663</v>
      </c>
      <c r="F52" s="35">
        <f t="shared" si="12"/>
        <v>0.31554796829297466</v>
      </c>
      <c r="G52" s="36">
        <f t="shared" si="12"/>
        <v>0.352069646712914</v>
      </c>
      <c r="H52" s="35">
        <f t="shared" si="12"/>
        <v>0.5117812340980995</v>
      </c>
      <c r="I52" s="35">
        <f t="shared" si="12"/>
        <v>0.5548733045946799</v>
      </c>
      <c r="J52" s="37">
        <f t="shared" si="12"/>
        <v>0.5887986532905662</v>
      </c>
      <c r="K52" s="35">
        <f t="shared" si="12"/>
        <v>0.4711203897007655</v>
      </c>
      <c r="L52" s="35">
        <f t="shared" si="12"/>
        <v>0.4546999108015121</v>
      </c>
    </row>
    <row r="53" spans="1:10" ht="11.25">
      <c r="A53" s="9" t="s">
        <v>47</v>
      </c>
      <c r="G53" s="24"/>
      <c r="H53" s="25"/>
      <c r="I53" s="25"/>
      <c r="J53" s="26"/>
    </row>
    <row r="54" spans="1:12" ht="11.25">
      <c r="A54" s="1" t="s">
        <v>48</v>
      </c>
      <c r="B54" s="25"/>
      <c r="C54" s="43">
        <f>C39/C27</f>
        <v>0.05459053556248229</v>
      </c>
      <c r="D54" s="43">
        <f>(D39/0.75)/D27</f>
        <v>0.056074336974374875</v>
      </c>
      <c r="E54" s="31">
        <f>(E39/0.5)/E27</f>
        <v>0.0641003624400076</v>
      </c>
      <c r="F54" s="31">
        <f>((F39)/0.25)/F27</f>
        <v>0.024961969298852166</v>
      </c>
      <c r="G54" s="42">
        <f>G39/G27</f>
        <v>0.03295092181944801</v>
      </c>
      <c r="H54" s="43">
        <f>(H39/0.75)/H27</f>
        <v>0.061972229806943564</v>
      </c>
      <c r="I54" s="43">
        <f>(I39/0.5)/I27</f>
        <v>0.08097297648856948</v>
      </c>
      <c r="J54" s="34">
        <f>((J39)/0.25)/J27</f>
        <v>0.0558679384119844</v>
      </c>
      <c r="K54" s="31">
        <f>K39/K27</f>
        <v>0.07416686790630282</v>
      </c>
      <c r="L54" s="31">
        <f>L39/L27</f>
        <v>0.11285417000160076</v>
      </c>
    </row>
    <row r="55" spans="1:12" ht="11.25">
      <c r="A55" s="1" t="s">
        <v>49</v>
      </c>
      <c r="B55" s="25"/>
      <c r="C55" s="43">
        <f>C39/C26</f>
        <v>0.034164767638791595</v>
      </c>
      <c r="D55" s="43">
        <f>(D39/0.75)/D26</f>
        <v>0.038120894458922625</v>
      </c>
      <c r="E55" s="31">
        <f>(E39/0.5)/E26</f>
        <v>0.04313002864388535</v>
      </c>
      <c r="F55" s="31">
        <f>((F39)/0.25)/F26</f>
        <v>0.018295502777900957</v>
      </c>
      <c r="G55" s="42">
        <f>G39/G26</f>
        <v>0.024920132223615915</v>
      </c>
      <c r="H55" s="43">
        <f>(H39/0.75)/H26</f>
        <v>0.04220952538391864</v>
      </c>
      <c r="I55" s="43">
        <f>(I39/0.5)/I26</f>
        <v>0.054287396167179015</v>
      </c>
      <c r="J55" s="34">
        <f>((J39)/0.25)/J26</f>
        <v>0.044812686533921335</v>
      </c>
      <c r="K55" s="31">
        <f>K39/K26</f>
        <v>0.06521825686490504</v>
      </c>
      <c r="L55" s="31">
        <f>L39/L26</f>
        <v>0.09883985839963548</v>
      </c>
    </row>
    <row r="56" spans="1:12" ht="11.25">
      <c r="A56" s="1" t="s">
        <v>50</v>
      </c>
      <c r="B56" s="25"/>
      <c r="C56" s="43">
        <f>+C39/C30</f>
        <v>0.41423426329086704</v>
      </c>
      <c r="D56" s="43">
        <f>(D39/0.75)/D30</f>
        <v>0.3845532778007522</v>
      </c>
      <c r="E56" s="31">
        <f>(E39/0.5)/E30</f>
        <v>0.4439992487322357</v>
      </c>
      <c r="F56" s="31">
        <f>((F39)/0.25)/F30</f>
        <v>0.19489809690916454</v>
      </c>
      <c r="G56" s="42">
        <f>+G39/G30</f>
        <v>0.2612422811478387</v>
      </c>
      <c r="H56" s="43">
        <f>(H39/0.75)/H30</f>
        <v>0.31391834434711335</v>
      </c>
      <c r="I56" s="43">
        <f>(I39/0.5)/I30</f>
        <v>0.40712884238064095</v>
      </c>
      <c r="J56" s="34">
        <f>((J39)/0.25)/J30</f>
        <v>0.32582995951417004</v>
      </c>
      <c r="K56" s="31">
        <f>K39/K30</f>
        <v>0.4271557719054242</v>
      </c>
      <c r="L56" s="31">
        <f>L39/L30</f>
        <v>0.36882029819513473</v>
      </c>
    </row>
    <row r="57" spans="1:12" ht="11.25">
      <c r="A57" s="1" t="s">
        <v>51</v>
      </c>
      <c r="B57" s="25"/>
      <c r="C57" s="43">
        <f>C32/C27</f>
        <v>0.2230518560498725</v>
      </c>
      <c r="D57" s="43">
        <f>(D32/0.75)/D27</f>
        <v>0.26199418811665115</v>
      </c>
      <c r="E57" s="31">
        <f>(E32/0.5)/E27</f>
        <v>0.27176673686493913</v>
      </c>
      <c r="F57" s="31">
        <f>((F32)/0.25)/F27</f>
        <v>0.24844419858940672</v>
      </c>
      <c r="G57" s="42">
        <f>G32/G27</f>
        <v>0.11871861598797787</v>
      </c>
      <c r="H57" s="43">
        <f>(H32/0.75)/H27</f>
        <v>0.1652053436890062</v>
      </c>
      <c r="I57" s="43">
        <f>(I32/0.5)/I27</f>
        <v>0.17996162726415402</v>
      </c>
      <c r="J57" s="34">
        <f>((J32)/0.25)/J27</f>
        <v>0.1395032418398656</v>
      </c>
      <c r="K57" s="31">
        <f>K32/K27</f>
        <v>0.12074378169524269</v>
      </c>
      <c r="L57" s="31">
        <f>L32/L26</f>
        <v>0.15383267323262417</v>
      </c>
    </row>
    <row r="58" spans="1:12" ht="11.25">
      <c r="A58" s="1" t="s">
        <v>52</v>
      </c>
      <c r="B58" s="25"/>
      <c r="C58" s="43">
        <f>C33/C27</f>
        <v>0.13230376877302352</v>
      </c>
      <c r="D58" s="43">
        <f>(D33/0.75)/D27</f>
        <v>0.16737305169819555</v>
      </c>
      <c r="E58" s="31">
        <f>(E33/0.5)/E27</f>
        <v>0.17574273086343875</v>
      </c>
      <c r="F58" s="31">
        <f>((F33)/0.25)/F27</f>
        <v>0.1707924215184622</v>
      </c>
      <c r="G58" s="42">
        <f>G33/G27</f>
        <v>0.07693435472638639</v>
      </c>
      <c r="H58" s="43">
        <f>(H33/0.75)/H27</f>
        <v>0.10250498063367817</v>
      </c>
      <c r="I58" s="43">
        <f>(I33/0.5)/I27</f>
        <v>0.09820818835159832</v>
      </c>
      <c r="J58" s="34">
        <f>((J33)/0.25)/J27</f>
        <v>0.07963680286559206</v>
      </c>
      <c r="K58" s="31">
        <f>K33/K27</f>
        <v>0.05937575464863559</v>
      </c>
      <c r="L58" s="31">
        <f>L33/L26</f>
        <v>0.039851389716448776</v>
      </c>
    </row>
    <row r="59" spans="1:12" ht="11.25">
      <c r="A59" s="1" t="s">
        <v>53</v>
      </c>
      <c r="B59" s="25"/>
      <c r="C59" s="43">
        <f>C34/C27</f>
        <v>0.09074808727684897</v>
      </c>
      <c r="D59" s="43">
        <f>(D34/0.75)/D27</f>
        <v>0.0946211364184556</v>
      </c>
      <c r="E59" s="31">
        <f>(E34/0.5)/E27</f>
        <v>0.09602400600150038</v>
      </c>
      <c r="F59" s="31">
        <f>((F34)/0.25)/F27</f>
        <v>0.07765177707094455</v>
      </c>
      <c r="G59" s="42">
        <f>G34/G27</f>
        <v>0.04178426126159147</v>
      </c>
      <c r="H59" s="43">
        <f>(H34/0.75)/H27</f>
        <v>0.06270036305532802</v>
      </c>
      <c r="I59" s="43">
        <f>(I34/0.5)/I27</f>
        <v>0.0817534389125557</v>
      </c>
      <c r="J59" s="34">
        <f>((J34)/0.25)/J27</f>
        <v>0.05986643897427354</v>
      </c>
      <c r="K59" s="31">
        <f>K34/K27</f>
        <v>0.0613680270466071</v>
      </c>
      <c r="L59" s="31">
        <f>L34/L26</f>
        <v>0.11398128351617538</v>
      </c>
    </row>
    <row r="60" spans="1:12" ht="11.25">
      <c r="A60" s="1" t="s">
        <v>54</v>
      </c>
      <c r="B60" s="25"/>
      <c r="C60" s="43">
        <f>C37/C36</f>
        <v>0.5262147691686029</v>
      </c>
      <c r="D60" s="43">
        <f>(D37/0.75)/(D36/0.75)</f>
        <v>0.5365111561866126</v>
      </c>
      <c r="E60" s="31">
        <f>(E37/0.5)/(E36/0.5)</f>
        <v>0.5461754924533129</v>
      </c>
      <c r="F60" s="31">
        <f>(F37/0.25)/(F36/0.25)</f>
        <v>0.7793398533007335</v>
      </c>
      <c r="G60" s="42">
        <f>G37/G36</f>
        <v>0.5908593920839711</v>
      </c>
      <c r="H60" s="43">
        <f>(H37/0.75)/(H36/0.75)</f>
        <v>0.5373306428365524</v>
      </c>
      <c r="I60" s="43">
        <f>(I37/0.5)/(I36/0.5)</f>
        <v>0.582774798927614</v>
      </c>
      <c r="J60" s="34">
        <f>(J37/0.25)/(J36/0.25)</f>
        <v>0.4819773429454171</v>
      </c>
      <c r="K60" s="31">
        <f>K37/K36</f>
        <v>0.2741506646971935</v>
      </c>
      <c r="L60" s="31">
        <f>L37/L36</f>
        <v>0.26339053562142484</v>
      </c>
    </row>
    <row r="61" spans="1:12" ht="11.25">
      <c r="A61" s="2" t="s">
        <v>55</v>
      </c>
      <c r="B61" s="2"/>
      <c r="C61" s="45">
        <f>C35/C27</f>
        <v>0.04950410881269481</v>
      </c>
      <c r="D61" s="45">
        <f>(D35/0.75)/D27</f>
        <v>0.06393071683723281</v>
      </c>
      <c r="E61" s="35">
        <f>(E35/0.5)/E27</f>
        <v>0.04530048174694276</v>
      </c>
      <c r="F61" s="35">
        <f>(F35/0.25)/F27</f>
        <v>0.035472272161526756</v>
      </c>
      <c r="G61" s="49">
        <f>G35/G27</f>
        <v>0.04202250485650405</v>
      </c>
      <c r="H61" s="45">
        <f>(H35/0.75)/H27</f>
        <v>0.07762709464720932</v>
      </c>
      <c r="I61" s="45">
        <f>(I35/0.5)/I27</f>
        <v>0.11232155051868233</v>
      </c>
      <c r="J61" s="37">
        <f>(J35/0.25)/J27</f>
        <v>0.0479820067474697</v>
      </c>
      <c r="K61" s="35">
        <f>K35/K27</f>
        <v>0.04081139821299203</v>
      </c>
      <c r="L61" s="35">
        <f>L35/L26</f>
        <v>0.020819459535242366</v>
      </c>
    </row>
    <row r="62" spans="1:10" ht="11.25">
      <c r="A62" s="9" t="s">
        <v>56</v>
      </c>
      <c r="G62" s="24"/>
      <c r="H62" s="25"/>
      <c r="I62" s="25"/>
      <c r="J62" s="26"/>
    </row>
    <row r="63" spans="1:12" ht="11.25">
      <c r="A63" s="1" t="s">
        <v>57</v>
      </c>
      <c r="C63" s="1">
        <v>6</v>
      </c>
      <c r="D63" s="1">
        <v>6</v>
      </c>
      <c r="E63" s="14">
        <v>6</v>
      </c>
      <c r="F63" s="14">
        <v>6</v>
      </c>
      <c r="G63" s="15">
        <v>6</v>
      </c>
      <c r="H63" s="16">
        <v>6</v>
      </c>
      <c r="I63" s="16">
        <v>6</v>
      </c>
      <c r="J63" s="17">
        <v>6</v>
      </c>
      <c r="K63" s="14">
        <v>6</v>
      </c>
      <c r="L63" s="14">
        <v>6</v>
      </c>
    </row>
    <row r="64" spans="1:12" ht="11.25">
      <c r="A64" s="1" t="s">
        <v>58</v>
      </c>
      <c r="C64" s="1">
        <v>1</v>
      </c>
      <c r="D64" s="1">
        <v>1</v>
      </c>
      <c r="E64" s="14">
        <v>1</v>
      </c>
      <c r="F64" s="14">
        <v>1</v>
      </c>
      <c r="G64" s="15">
        <v>1</v>
      </c>
      <c r="H64" s="16">
        <v>1</v>
      </c>
      <c r="I64" s="16">
        <v>1</v>
      </c>
      <c r="J64" s="17">
        <v>1</v>
      </c>
      <c r="K64" s="14">
        <v>1</v>
      </c>
      <c r="L64" s="14">
        <v>1</v>
      </c>
    </row>
    <row r="65" spans="1:12" ht="11.25">
      <c r="A65" s="1" t="s">
        <v>59</v>
      </c>
      <c r="C65" s="14">
        <f aca="true" t="shared" si="13" ref="C65:L65">C12/C63</f>
        <v>11720</v>
      </c>
      <c r="D65" s="14">
        <f t="shared" si="13"/>
        <v>12252.666666666666</v>
      </c>
      <c r="E65" s="14">
        <f t="shared" si="13"/>
        <v>12793.333333333334</v>
      </c>
      <c r="F65" s="14">
        <f t="shared" si="13"/>
        <v>11472.666666666666</v>
      </c>
      <c r="G65" s="15">
        <f t="shared" si="13"/>
        <v>10891.5</v>
      </c>
      <c r="H65" s="16">
        <f t="shared" si="13"/>
        <v>4733</v>
      </c>
      <c r="I65" s="16">
        <f t="shared" si="13"/>
        <v>4788.166666666667</v>
      </c>
      <c r="J65" s="17">
        <f t="shared" si="13"/>
        <v>4779.666666666667</v>
      </c>
      <c r="K65" s="14">
        <f t="shared" si="13"/>
        <v>4803.5</v>
      </c>
      <c r="L65" s="14">
        <f t="shared" si="13"/>
        <v>3026.1666666666665</v>
      </c>
    </row>
    <row r="66" spans="1:12" ht="11.25">
      <c r="A66" s="1" t="s">
        <v>60</v>
      </c>
      <c r="C66" s="14">
        <f aca="true" t="shared" si="14" ref="C66:L66">+C16/C63</f>
        <v>18705.333333333332</v>
      </c>
      <c r="D66" s="14">
        <f t="shared" si="14"/>
        <v>17614.333333333332</v>
      </c>
      <c r="E66" s="14">
        <f t="shared" si="14"/>
        <v>16254.5</v>
      </c>
      <c r="F66" s="14">
        <f t="shared" si="14"/>
        <v>15327.833333333334</v>
      </c>
      <c r="G66" s="15">
        <f t="shared" si="14"/>
        <v>14511.333333333334</v>
      </c>
      <c r="H66" s="16">
        <f t="shared" si="14"/>
        <v>7533.166666666667</v>
      </c>
      <c r="I66" s="16">
        <f t="shared" si="14"/>
        <v>7925.833333333333</v>
      </c>
      <c r="J66" s="17">
        <f t="shared" si="14"/>
        <v>7326.5</v>
      </c>
      <c r="K66" s="14">
        <f t="shared" si="14"/>
        <v>5748</v>
      </c>
      <c r="L66" s="14">
        <f t="shared" si="14"/>
        <v>3923.8333333333335</v>
      </c>
    </row>
    <row r="67" spans="1:12" ht="11.25">
      <c r="A67" s="2" t="s">
        <v>61</v>
      </c>
      <c r="B67" s="2"/>
      <c r="C67" s="19">
        <f aca="true" t="shared" si="15" ref="C67:L67">+C39/C63</f>
        <v>642.1666666666666</v>
      </c>
      <c r="D67" s="19">
        <f t="shared" si="15"/>
        <v>406.8333333333333</v>
      </c>
      <c r="E67" s="19">
        <f t="shared" si="15"/>
        <v>295.5</v>
      </c>
      <c r="F67" s="19">
        <f t="shared" si="15"/>
        <v>60.166666666666664</v>
      </c>
      <c r="G67" s="20">
        <f t="shared" si="15"/>
        <v>299.6666666666667</v>
      </c>
      <c r="H67" s="19">
        <f t="shared" si="15"/>
        <v>255.33333333333334</v>
      </c>
      <c r="I67" s="19">
        <f t="shared" si="15"/>
        <v>207.5</v>
      </c>
      <c r="J67" s="21">
        <f t="shared" si="15"/>
        <v>83.83333333333333</v>
      </c>
      <c r="K67" s="19">
        <f t="shared" si="15"/>
        <v>409.5</v>
      </c>
      <c r="L67" s="19">
        <f t="shared" si="15"/>
        <v>470</v>
      </c>
    </row>
    <row r="68" spans="1:10" ht="11.25">
      <c r="A68" s="9" t="s">
        <v>62</v>
      </c>
      <c r="G68" s="24"/>
      <c r="H68" s="25"/>
      <c r="I68" s="25"/>
      <c r="J68" s="26"/>
    </row>
    <row r="69" spans="1:12" ht="11.25">
      <c r="A69" s="1" t="s">
        <v>63</v>
      </c>
      <c r="C69" s="31">
        <f>(C10/G10)-1</f>
        <v>0.2914702535760729</v>
      </c>
      <c r="D69" s="31">
        <f>(D10/H10)-1</f>
        <v>1.1969407623754962</v>
      </c>
      <c r="E69" s="31">
        <f>(E10/I10)-1</f>
        <v>0.9011274016831632</v>
      </c>
      <c r="F69" s="31">
        <f>+(F10/J10)-1</f>
        <v>0.8158871169146242</v>
      </c>
      <c r="G69" s="33">
        <f>+(G10/K10)-1</f>
        <v>1.1459373433037565</v>
      </c>
      <c r="H69" s="32">
        <f>+(H10/43375)-1</f>
        <v>0.231400576368876</v>
      </c>
      <c r="I69" s="32">
        <f>+(I10/35055)-1</f>
        <v>0.6168592212237911</v>
      </c>
      <c r="J69" s="34">
        <f>+(J10/33738)-1</f>
        <v>0.6615685577094077</v>
      </c>
      <c r="K69" s="31">
        <f>+(K10/L10)-1</f>
        <v>0.5560417938801818</v>
      </c>
      <c r="L69" s="31">
        <f>+(L10/27584)-1</f>
        <v>0.06866299303944312</v>
      </c>
    </row>
    <row r="70" spans="1:12" ht="11.25">
      <c r="A70" s="1" t="s">
        <v>64</v>
      </c>
      <c r="C70" s="31">
        <f>(C12/G12)-1</f>
        <v>0.07606849377955283</v>
      </c>
      <c r="D70" s="31">
        <f>(D12/H12)-1</f>
        <v>1.5887738573138952</v>
      </c>
      <c r="E70" s="31">
        <f>(E12/I12)-1</f>
        <v>1.6718646663649972</v>
      </c>
      <c r="F70" s="31">
        <f aca="true" t="shared" si="16" ref="F70:L70">SUM(F71:F72)</f>
        <v>1.4003068554292488</v>
      </c>
      <c r="G70" s="33">
        <f t="shared" si="16"/>
        <v>1.2674091808056627</v>
      </c>
      <c r="H70" s="32">
        <f t="shared" si="16"/>
        <v>0.039268069533394234</v>
      </c>
      <c r="I70" s="32">
        <f t="shared" si="16"/>
        <v>0.10060146343332188</v>
      </c>
      <c r="J70" s="34">
        <f t="shared" si="16"/>
        <v>0.6067906768265352</v>
      </c>
      <c r="K70" s="31">
        <f t="shared" si="16"/>
        <v>0.5873216941124635</v>
      </c>
      <c r="L70" s="31">
        <f t="shared" si="16"/>
        <v>0.13616169200926098</v>
      </c>
    </row>
    <row r="71" spans="2:12" ht="11.25">
      <c r="B71" s="1" t="s">
        <v>15</v>
      </c>
      <c r="C71" s="31">
        <v>0</v>
      </c>
      <c r="D71" s="31">
        <v>0</v>
      </c>
      <c r="E71" s="31">
        <v>0</v>
      </c>
      <c r="F71" s="31">
        <v>0</v>
      </c>
      <c r="G71" s="33">
        <v>0</v>
      </c>
      <c r="H71" s="32">
        <v>0</v>
      </c>
      <c r="I71" s="32">
        <v>0</v>
      </c>
      <c r="J71" s="34">
        <v>0</v>
      </c>
      <c r="K71" s="31">
        <v>0</v>
      </c>
      <c r="L71" s="31">
        <v>0</v>
      </c>
    </row>
    <row r="72" spans="2:12" ht="11.25">
      <c r="B72" s="1" t="s">
        <v>16</v>
      </c>
      <c r="C72" s="31">
        <f>(C14/G14)-1</f>
        <v>0.07606849377955283</v>
      </c>
      <c r="D72" s="31">
        <f>(D14/H14)-1</f>
        <v>1.5887738573138952</v>
      </c>
      <c r="E72" s="31">
        <f>(E14/I14)-1</f>
        <v>1.6718646663649972</v>
      </c>
      <c r="F72" s="31">
        <f>+(F14/J14)-1</f>
        <v>1.4003068554292488</v>
      </c>
      <c r="G72" s="33">
        <f>+(G14/K14)-1</f>
        <v>1.2674091808056627</v>
      </c>
      <c r="H72" s="32">
        <f>+(H14/27325)-1</f>
        <v>0.039268069533394234</v>
      </c>
      <c r="I72" s="32">
        <f>+(I14/26103)-1</f>
        <v>0.10060146343332188</v>
      </c>
      <c r="J72" s="34">
        <f>+(J14/17848)-1</f>
        <v>0.6067906768265352</v>
      </c>
      <c r="K72" s="31">
        <f>+(K14/L14)-1</f>
        <v>0.5873216941124635</v>
      </c>
      <c r="L72" s="31">
        <f>+(L14/15981)-1</f>
        <v>0.13616169200926098</v>
      </c>
    </row>
    <row r="73" spans="1:12" ht="11.25">
      <c r="A73" s="1" t="s">
        <v>65</v>
      </c>
      <c r="C73" s="31">
        <f>(C16/G16)-1</f>
        <v>0.28901548215188133</v>
      </c>
      <c r="D73" s="31">
        <f>(D16/H16)-1</f>
        <v>1.3382375716276909</v>
      </c>
      <c r="E73" s="31">
        <f>(E16/I16)-1</f>
        <v>1.050825360109347</v>
      </c>
      <c r="F73" s="31">
        <f aca="true" t="shared" si="17" ref="F73:L73">SUM(F74:F75)</f>
        <v>1.092108555699629</v>
      </c>
      <c r="G73" s="33">
        <f t="shared" si="17"/>
        <v>1.5245882625840874</v>
      </c>
      <c r="H73" s="32">
        <f t="shared" si="17"/>
        <v>0.2712774933903359</v>
      </c>
      <c r="I73" s="32">
        <f t="shared" si="17"/>
        <v>0.6018256534626785</v>
      </c>
      <c r="J73" s="34">
        <f t="shared" si="17"/>
        <v>0.6024715660542432</v>
      </c>
      <c r="K73" s="31">
        <f t="shared" si="17"/>
        <v>0.4648940237013124</v>
      </c>
      <c r="L73" s="31">
        <f t="shared" si="17"/>
        <v>0.3390399271982709</v>
      </c>
    </row>
    <row r="74" spans="2:12" ht="11.25">
      <c r="B74" s="1" t="s">
        <v>15</v>
      </c>
      <c r="C74" s="31">
        <v>0</v>
      </c>
      <c r="D74" s="31">
        <v>0</v>
      </c>
      <c r="E74" s="31">
        <v>0</v>
      </c>
      <c r="F74" s="31">
        <v>0</v>
      </c>
      <c r="G74" s="33">
        <v>0</v>
      </c>
      <c r="H74" s="32">
        <v>0</v>
      </c>
      <c r="I74" s="32">
        <v>0</v>
      </c>
      <c r="J74" s="34">
        <v>0</v>
      </c>
      <c r="K74" s="31">
        <v>0</v>
      </c>
      <c r="L74" s="31">
        <v>0</v>
      </c>
    </row>
    <row r="75" spans="2:12" ht="11.25">
      <c r="B75" s="1" t="s">
        <v>16</v>
      </c>
      <c r="C75" s="31">
        <f>(C21/G21)-1</f>
        <v>0.28901548215188133</v>
      </c>
      <c r="D75" s="31">
        <f>(D21/H21)-1</f>
        <v>1.3382375716276909</v>
      </c>
      <c r="E75" s="31">
        <f>(E21/I21)-1</f>
        <v>1.050825360109347</v>
      </c>
      <c r="F75" s="31">
        <f>+(F21/J21)-1</f>
        <v>1.092108555699629</v>
      </c>
      <c r="G75" s="33">
        <f>+(G21/K21)-1</f>
        <v>1.5245882625840874</v>
      </c>
      <c r="H75" s="32">
        <f>+(H21/35554)-1</f>
        <v>0.2712774933903359</v>
      </c>
      <c r="I75" s="32">
        <f>+(I21/29688)-1</f>
        <v>0.6018256534626785</v>
      </c>
      <c r="J75" s="34">
        <f>+(J21/27432)-1</f>
        <v>0.6024715660542432</v>
      </c>
      <c r="K75" s="31">
        <f>+(K21/L21)-1</f>
        <v>0.4648940237013124</v>
      </c>
      <c r="L75" s="31">
        <f>+(L21/17582)-1</f>
        <v>0.3390399271982709</v>
      </c>
    </row>
    <row r="76" spans="1:12" ht="11.25">
      <c r="A76" s="1" t="s">
        <v>22</v>
      </c>
      <c r="C76" s="31">
        <f>(C24/G24)-1</f>
        <v>0.3622857142857143</v>
      </c>
      <c r="D76" s="31">
        <f>(D24/H24)-1</f>
        <v>0.22401786887399822</v>
      </c>
      <c r="E76" s="31">
        <f>(E24/I24)-1</f>
        <v>0.18061433447098985</v>
      </c>
      <c r="F76" s="32">
        <f>+(F24/J24)-1</f>
        <v>0.2512914007900333</v>
      </c>
      <c r="G76" s="33">
        <f>+(G24/K24)-1</f>
        <v>0.3370118845500849</v>
      </c>
      <c r="H76" s="32">
        <f>+(H24/5403)-1</f>
        <v>0.4086618545252638</v>
      </c>
      <c r="I76" s="32">
        <f>+(I24/4907)-1</f>
        <v>0.4927654371306298</v>
      </c>
      <c r="J76" s="34">
        <f>+(J24/5768)-1</f>
        <v>0.14112343966712904</v>
      </c>
      <c r="K76" s="32">
        <f>+(K24/L24)-1</f>
        <v>0.049162807267545405</v>
      </c>
      <c r="L76" s="32">
        <f>+(L24/9678)-1</f>
        <v>-0.419921471378384</v>
      </c>
    </row>
    <row r="77" spans="1:12" ht="11.25">
      <c r="A77" s="2" t="s">
        <v>66</v>
      </c>
      <c r="B77" s="2"/>
      <c r="C77" s="35">
        <f>(C39/G39)-1</f>
        <v>1.14293659621802</v>
      </c>
      <c r="D77" s="35">
        <f>(D39/H39)-1</f>
        <v>0.5933420365535249</v>
      </c>
      <c r="E77" s="35">
        <f>(E39/I39)-1</f>
        <v>0.42409638554216866</v>
      </c>
      <c r="F77" s="35">
        <f>+(F39/J39)-1</f>
        <v>-0.28230616302186884</v>
      </c>
      <c r="G77" s="36">
        <f>+(G39/K39)-1</f>
        <v>-0.2682132682132682</v>
      </c>
      <c r="H77" s="35">
        <f>+(H39/1731)-1</f>
        <v>-0.11496244945118428</v>
      </c>
      <c r="I77" s="35">
        <f>+(I39/1335)-1</f>
        <v>-0.0674157303370787</v>
      </c>
      <c r="J77" s="37">
        <f>+(J39/341)-1</f>
        <v>0.4750733137829912</v>
      </c>
      <c r="K77" s="35">
        <f>+(K39/L39)-1</f>
        <v>-0.12872340425531914</v>
      </c>
      <c r="L77" s="35">
        <f>+(L39/6625)-1</f>
        <v>-0.5743396226415094</v>
      </c>
    </row>
  </sheetData>
  <sheetProtection password="CD66" sheet="1" objects="1" scenarios="1"/>
  <mergeCells count="3">
    <mergeCell ref="G7:J7"/>
    <mergeCell ref="K7:L7"/>
    <mergeCell ref="C7:F7"/>
  </mergeCells>
  <printOptions horizontalCentered="1" verticalCentered="1"/>
  <pageMargins left="0.75" right="0.75" top="1" bottom="1" header="0" footer="0"/>
  <pageSetup horizontalDpi="300" verticalDpi="300" orientation="landscape" r:id="rId3"/>
  <legacyDrawing r:id="rId2"/>
  <oleObjects>
    <oleObject progId="MSPhotoEd.3" shapeId="1884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2002-03-22T15:33:23Z</cp:lastPrinted>
  <dcterms:created xsi:type="dcterms:W3CDTF">2002-03-19T18:28:09Z</dcterms:created>
  <dcterms:modified xsi:type="dcterms:W3CDTF">2002-03-20T21:20:38Z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