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crédito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<sst xmlns="http://schemas.openxmlformats.org/spreadsheetml/2006/main" count="84" uniqueCount="68">
  <si>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 xml:space="preserve"> CUADRO No. 19-23</t>
  </si>
  <si>
    <t>BANCREDITO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</si>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</sst>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9" fontId="1" fillId="0" borderId="6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6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7" xfId="15" applyNumberFormat="1" applyFont="1" applyBorder="1" applyAlignment="1">
      <alignment/>
    </xf>
    <xf numFmtId="43" fontId="2" fillId="0" borderId="0" xfId="15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8" xfId="15" applyNumberFormat="1" applyFont="1" applyBorder="1" applyAlignment="1">
      <alignment/>
    </xf>
    <xf numFmtId="179" fontId="2" fillId="0" borderId="9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0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7" xfId="19" applyNumberFormat="1" applyFont="1" applyFill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8" xfId="19" applyNumberFormat="1" applyFont="1" applyBorder="1" applyAlignment="1">
      <alignment/>
    </xf>
    <xf numFmtId="10" fontId="2" fillId="0" borderId="9" xfId="19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9" xfId="19" applyNumberFormat="1" applyFont="1" applyFill="1" applyBorder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10" fontId="2" fillId="0" borderId="8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9" fontId="2" fillId="0" borderId="8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1" sqref="H71"/>
    </sheetView>
  </sheetViews>
  <sheetFormatPr defaultColWidth="11.421875" defaultRowHeight="12.75"/>
  <cols>
    <col min="1" max="1" width="3.57421875" style="1" customWidth="1"/>
    <col min="2" max="2" width="35.421875" style="1" customWidth="1"/>
    <col min="3" max="3" width="7.710937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5.8515625" style="1" hidden="1" customWidth="1"/>
    <col min="13" max="16384" width="11.421875" style="1" customWidth="1"/>
  </cols>
  <sheetData>
    <row r="1" ht="11.25"/>
    <row r="2" spans="2:12" ht="11.25">
      <c r="B2" s="46"/>
      <c r="C2" s="46"/>
      <c r="D2" s="46"/>
      <c r="E2" s="46"/>
      <c r="F2" s="46"/>
      <c r="G2" s="46" t="s">
        <v>0</v>
      </c>
      <c r="H2" s="46"/>
      <c r="I2" s="46"/>
      <c r="J2" s="46"/>
      <c r="K2" s="46"/>
      <c r="L2" s="46"/>
    </row>
    <row r="3" spans="2:12" ht="11.25">
      <c r="B3" s="46"/>
      <c r="C3" s="46"/>
      <c r="D3" s="46"/>
      <c r="E3" s="46"/>
      <c r="F3" s="46"/>
      <c r="G3" s="46" t="s">
        <v>1</v>
      </c>
      <c r="H3" s="46"/>
      <c r="I3" s="46"/>
      <c r="J3" s="46"/>
      <c r="K3" s="46"/>
      <c r="L3" s="46"/>
    </row>
    <row r="4" spans="2:12" ht="11.25">
      <c r="B4" s="46"/>
      <c r="C4" s="46"/>
      <c r="D4" s="46"/>
      <c r="E4" s="46"/>
      <c r="F4" s="46"/>
      <c r="G4" s="46" t="s">
        <v>2</v>
      </c>
      <c r="H4" s="46"/>
      <c r="I4" s="46"/>
      <c r="J4" s="46"/>
      <c r="K4" s="46"/>
      <c r="L4" s="46"/>
    </row>
    <row r="5" spans="2:12" ht="11.25">
      <c r="B5" s="45"/>
      <c r="C5" s="45"/>
      <c r="D5" s="45"/>
      <c r="E5" s="45"/>
      <c r="F5" s="45"/>
      <c r="G5" s="45" t="s">
        <v>3</v>
      </c>
      <c r="H5" s="45"/>
      <c r="I5" s="45"/>
      <c r="J5" s="45"/>
      <c r="K5" s="45"/>
      <c r="L5" s="45"/>
    </row>
    <row r="6" spans="1:12" ht="11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23"/>
      <c r="B8" s="3"/>
      <c r="C8" s="48">
        <v>2001</v>
      </c>
      <c r="D8" s="48"/>
      <c r="E8" s="48"/>
      <c r="F8" s="49"/>
      <c r="G8" s="47">
        <v>2000</v>
      </c>
      <c r="H8" s="48"/>
      <c r="I8" s="48"/>
      <c r="J8" s="49"/>
      <c r="K8" s="47" t="s">
        <v>4</v>
      </c>
      <c r="L8" s="49"/>
    </row>
    <row r="9" spans="1:12" ht="11.25">
      <c r="A9" s="50"/>
      <c r="B9" s="4"/>
      <c r="C9" s="5" t="s">
        <v>5</v>
      </c>
      <c r="D9" s="5" t="s">
        <v>6</v>
      </c>
      <c r="E9" s="4" t="s">
        <v>7</v>
      </c>
      <c r="F9" s="4" t="s">
        <v>8</v>
      </c>
      <c r="G9" s="6" t="s">
        <v>5</v>
      </c>
      <c r="H9" s="5" t="s">
        <v>6</v>
      </c>
      <c r="I9" s="5" t="s">
        <v>7</v>
      </c>
      <c r="J9" s="7" t="s">
        <v>8</v>
      </c>
      <c r="K9" s="57" t="s">
        <v>9</v>
      </c>
      <c r="L9" s="58" t="s">
        <v>10</v>
      </c>
    </row>
    <row r="10" spans="1:12" ht="11.25">
      <c r="A10" s="51" t="s">
        <v>11</v>
      </c>
      <c r="B10" s="8"/>
      <c r="C10" s="8"/>
      <c r="D10" s="8"/>
      <c r="E10" s="8"/>
      <c r="F10" s="8"/>
      <c r="G10" s="9"/>
      <c r="H10" s="10"/>
      <c r="I10" s="10"/>
      <c r="J10" s="11"/>
      <c r="K10" s="9"/>
      <c r="L10" s="11"/>
    </row>
    <row r="11" spans="1:12" ht="11.25">
      <c r="A11" s="20" t="s">
        <v>12</v>
      </c>
      <c r="C11" s="12">
        <v>151872</v>
      </c>
      <c r="D11" s="12">
        <v>153887</v>
      </c>
      <c r="E11" s="12">
        <v>163580</v>
      </c>
      <c r="F11" s="12">
        <v>157726</v>
      </c>
      <c r="G11" s="13">
        <v>151984</v>
      </c>
      <c r="H11" s="14">
        <v>179255</v>
      </c>
      <c r="I11" s="14">
        <v>147906</v>
      </c>
      <c r="J11" s="15">
        <v>137526</v>
      </c>
      <c r="K11" s="13">
        <v>123404</v>
      </c>
      <c r="L11" s="15">
        <v>78624</v>
      </c>
    </row>
    <row r="12" spans="1:12" ht="11.25">
      <c r="A12" s="20" t="s">
        <v>13</v>
      </c>
      <c r="C12" s="12">
        <v>25846</v>
      </c>
      <c r="D12" s="12">
        <v>23257</v>
      </c>
      <c r="E12" s="12">
        <v>31524</v>
      </c>
      <c r="F12" s="12">
        <v>17441</v>
      </c>
      <c r="G12" s="13">
        <v>7294</v>
      </c>
      <c r="H12" s="14">
        <v>25973</v>
      </c>
      <c r="I12" s="14">
        <v>12071</v>
      </c>
      <c r="J12" s="15">
        <v>20627</v>
      </c>
      <c r="K12" s="13">
        <v>26306</v>
      </c>
      <c r="L12" s="15">
        <v>10084</v>
      </c>
    </row>
    <row r="13" spans="1:12" ht="11.25">
      <c r="A13" s="20" t="s">
        <v>14</v>
      </c>
      <c r="C13" s="12">
        <f aca="true" t="shared" si="0" ref="C13:L13">C14+C15</f>
        <v>120931</v>
      </c>
      <c r="D13" s="12">
        <f t="shared" si="0"/>
        <v>121413</v>
      </c>
      <c r="E13" s="12">
        <f t="shared" si="0"/>
        <v>122767</v>
      </c>
      <c r="F13" s="12">
        <f t="shared" si="0"/>
        <v>131846</v>
      </c>
      <c r="G13" s="13">
        <f t="shared" si="0"/>
        <v>136632</v>
      </c>
      <c r="H13" s="14">
        <f t="shared" si="0"/>
        <v>140753</v>
      </c>
      <c r="I13" s="14">
        <f t="shared" si="0"/>
        <v>125194</v>
      </c>
      <c r="J13" s="15">
        <f t="shared" si="0"/>
        <v>108386</v>
      </c>
      <c r="K13" s="13">
        <f t="shared" si="0"/>
        <v>92389</v>
      </c>
      <c r="L13" s="15">
        <f t="shared" si="0"/>
        <v>63182</v>
      </c>
    </row>
    <row r="14" spans="1:12" ht="11.25">
      <c r="A14" s="20"/>
      <c r="B14" s="1" t="s">
        <v>15</v>
      </c>
      <c r="D14" s="16">
        <v>0</v>
      </c>
      <c r="E14" s="12">
        <v>0</v>
      </c>
      <c r="F14" s="12">
        <v>0</v>
      </c>
      <c r="G14" s="13"/>
      <c r="H14" s="14"/>
      <c r="I14" s="14">
        <v>0</v>
      </c>
      <c r="J14" s="15">
        <v>0</v>
      </c>
      <c r="K14" s="13">
        <v>0</v>
      </c>
      <c r="L14" s="15">
        <v>0</v>
      </c>
    </row>
    <row r="15" spans="1:12" ht="11.25">
      <c r="A15" s="20"/>
      <c r="B15" s="1" t="s">
        <v>16</v>
      </c>
      <c r="C15" s="12">
        <v>120931</v>
      </c>
      <c r="D15" s="12">
        <v>121413</v>
      </c>
      <c r="E15" s="12">
        <v>122767</v>
      </c>
      <c r="F15" s="12">
        <v>131846</v>
      </c>
      <c r="G15" s="13">
        <v>136632</v>
      </c>
      <c r="H15" s="14">
        <v>140753</v>
      </c>
      <c r="I15" s="14">
        <v>125194</v>
      </c>
      <c r="J15" s="15">
        <v>108386</v>
      </c>
      <c r="K15" s="13">
        <v>92389</v>
      </c>
      <c r="L15" s="15">
        <v>63182</v>
      </c>
    </row>
    <row r="16" spans="1:12" ht="11.25">
      <c r="A16" s="20" t="s">
        <v>17</v>
      </c>
      <c r="C16" s="12">
        <v>113</v>
      </c>
      <c r="D16" s="12">
        <v>113</v>
      </c>
      <c r="E16" s="12">
        <v>113</v>
      </c>
      <c r="F16" s="12">
        <v>113</v>
      </c>
      <c r="G16" s="13">
        <v>113</v>
      </c>
      <c r="H16" s="14">
        <v>866</v>
      </c>
      <c r="I16" s="14">
        <v>113</v>
      </c>
      <c r="J16" s="15">
        <v>125</v>
      </c>
      <c r="K16" s="13">
        <v>125</v>
      </c>
      <c r="L16" s="15">
        <v>2684</v>
      </c>
    </row>
    <row r="17" spans="1:12" ht="11.25">
      <c r="A17" s="20" t="s">
        <v>18</v>
      </c>
      <c r="C17" s="12">
        <f aca="true" t="shared" si="1" ref="C17:L17">C18+C22</f>
        <v>70144</v>
      </c>
      <c r="D17" s="12">
        <f t="shared" si="1"/>
        <v>54439</v>
      </c>
      <c r="E17" s="12">
        <f t="shared" si="1"/>
        <v>59809</v>
      </c>
      <c r="F17" s="12">
        <f t="shared" si="1"/>
        <v>46043</v>
      </c>
      <c r="G17" s="13">
        <f t="shared" si="1"/>
        <v>41827</v>
      </c>
      <c r="H17" s="14">
        <f t="shared" si="1"/>
        <v>60536</v>
      </c>
      <c r="I17" s="14">
        <f t="shared" si="1"/>
        <v>59727</v>
      </c>
      <c r="J17" s="15">
        <f t="shared" si="1"/>
        <v>54982</v>
      </c>
      <c r="K17" s="13">
        <f t="shared" si="1"/>
        <v>44453</v>
      </c>
      <c r="L17" s="15">
        <f t="shared" si="1"/>
        <v>34208</v>
      </c>
    </row>
    <row r="18" spans="1:12" ht="11.25">
      <c r="A18" s="20"/>
      <c r="B18" s="1" t="s">
        <v>15</v>
      </c>
      <c r="C18" s="12">
        <f aca="true" t="shared" si="2" ref="C18:L18">SUM(C19:C21)</f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3">
        <f t="shared" si="2"/>
        <v>0</v>
      </c>
      <c r="H18" s="14">
        <f t="shared" si="2"/>
        <v>0</v>
      </c>
      <c r="I18" s="14">
        <f t="shared" si="2"/>
        <v>0</v>
      </c>
      <c r="J18" s="15">
        <f t="shared" si="2"/>
        <v>0</v>
      </c>
      <c r="K18" s="13">
        <f t="shared" si="2"/>
        <v>0</v>
      </c>
      <c r="L18" s="15">
        <f t="shared" si="2"/>
        <v>0</v>
      </c>
    </row>
    <row r="19" spans="1:12" ht="11.25">
      <c r="A19" s="20"/>
      <c r="B19" s="1" t="s">
        <v>19</v>
      </c>
      <c r="D19" s="16">
        <v>0</v>
      </c>
      <c r="E19" s="12">
        <v>0</v>
      </c>
      <c r="F19" s="12">
        <v>0</v>
      </c>
      <c r="G19" s="13">
        <v>0</v>
      </c>
      <c r="H19" s="14">
        <v>0</v>
      </c>
      <c r="I19" s="14">
        <v>0</v>
      </c>
      <c r="J19" s="15">
        <v>0</v>
      </c>
      <c r="K19" s="13">
        <v>0</v>
      </c>
      <c r="L19" s="15">
        <v>0</v>
      </c>
    </row>
    <row r="20" spans="1:12" ht="11.25">
      <c r="A20" s="20"/>
      <c r="B20" s="1" t="s">
        <v>20</v>
      </c>
      <c r="D20" s="16">
        <v>0</v>
      </c>
      <c r="E20" s="12">
        <v>0</v>
      </c>
      <c r="F20" s="12">
        <v>0</v>
      </c>
      <c r="G20" s="13">
        <v>0</v>
      </c>
      <c r="H20" s="14">
        <v>0</v>
      </c>
      <c r="I20" s="14">
        <v>0</v>
      </c>
      <c r="J20" s="15">
        <v>0</v>
      </c>
      <c r="K20" s="13">
        <v>0</v>
      </c>
      <c r="L20" s="15">
        <v>0</v>
      </c>
    </row>
    <row r="21" spans="1:12" ht="11.25">
      <c r="A21" s="20"/>
      <c r="B21" s="1" t="s">
        <v>21</v>
      </c>
      <c r="D21" s="16">
        <v>0</v>
      </c>
      <c r="E21" s="12"/>
      <c r="F21" s="12">
        <v>0</v>
      </c>
      <c r="G21" s="13">
        <v>0</v>
      </c>
      <c r="H21" s="14">
        <v>0</v>
      </c>
      <c r="I21" s="14">
        <v>0</v>
      </c>
      <c r="J21" s="15">
        <v>0</v>
      </c>
      <c r="K21" s="13">
        <v>0</v>
      </c>
      <c r="L21" s="15">
        <v>0</v>
      </c>
    </row>
    <row r="22" spans="1:12" ht="11.25">
      <c r="A22" s="20"/>
      <c r="B22" s="1" t="s">
        <v>16</v>
      </c>
      <c r="C22" s="12">
        <f aca="true" t="shared" si="3" ref="C22:L22">SUM(C23:C24)</f>
        <v>70144</v>
      </c>
      <c r="D22" s="12">
        <f t="shared" si="3"/>
        <v>54439</v>
      </c>
      <c r="E22" s="12">
        <f t="shared" si="3"/>
        <v>59809</v>
      </c>
      <c r="F22" s="12">
        <f t="shared" si="3"/>
        <v>46043</v>
      </c>
      <c r="G22" s="13">
        <f t="shared" si="3"/>
        <v>41827</v>
      </c>
      <c r="H22" s="14">
        <f t="shared" si="3"/>
        <v>60536</v>
      </c>
      <c r="I22" s="14">
        <f t="shared" si="3"/>
        <v>59727</v>
      </c>
      <c r="J22" s="15">
        <f t="shared" si="3"/>
        <v>54982</v>
      </c>
      <c r="K22" s="13">
        <f t="shared" si="3"/>
        <v>44453</v>
      </c>
      <c r="L22" s="15">
        <f t="shared" si="3"/>
        <v>34208</v>
      </c>
    </row>
    <row r="23" spans="1:12" ht="11.25">
      <c r="A23" s="20"/>
      <c r="B23" s="1" t="s">
        <v>20</v>
      </c>
      <c r="C23" s="12">
        <v>61157</v>
      </c>
      <c r="D23" s="12">
        <v>45109</v>
      </c>
      <c r="E23" s="12">
        <v>49517</v>
      </c>
      <c r="F23" s="12">
        <v>36030</v>
      </c>
      <c r="G23" s="13">
        <v>27130</v>
      </c>
      <c r="H23" s="14">
        <v>51157</v>
      </c>
      <c r="I23" s="14">
        <v>48484</v>
      </c>
      <c r="J23" s="15">
        <v>50925</v>
      </c>
      <c r="K23" s="13">
        <v>34445</v>
      </c>
      <c r="L23" s="15">
        <v>23462</v>
      </c>
    </row>
    <row r="24" spans="1:12" ht="11.25">
      <c r="A24" s="20"/>
      <c r="B24" s="1" t="s">
        <v>21</v>
      </c>
      <c r="C24" s="12">
        <f>6987+2000</f>
        <v>8987</v>
      </c>
      <c r="D24" s="12">
        <f>6788+2542</f>
        <v>9330</v>
      </c>
      <c r="E24" s="12">
        <v>10292</v>
      </c>
      <c r="F24" s="12">
        <v>10013</v>
      </c>
      <c r="G24" s="13">
        <v>14697</v>
      </c>
      <c r="H24" s="14">
        <v>9379</v>
      </c>
      <c r="I24" s="14">
        <v>11243</v>
      </c>
      <c r="J24" s="15">
        <v>4057</v>
      </c>
      <c r="K24" s="13">
        <v>10008</v>
      </c>
      <c r="L24" s="15">
        <v>10746</v>
      </c>
    </row>
    <row r="25" spans="1:12" ht="11.25">
      <c r="A25" s="52" t="s">
        <v>22</v>
      </c>
      <c r="B25" s="2"/>
      <c r="C25" s="17">
        <v>14875</v>
      </c>
      <c r="D25" s="17">
        <v>14985</v>
      </c>
      <c r="E25" s="17">
        <v>14816</v>
      </c>
      <c r="F25" s="17">
        <v>14676</v>
      </c>
      <c r="G25" s="18">
        <v>14269</v>
      </c>
      <c r="H25" s="17">
        <v>13830</v>
      </c>
      <c r="I25" s="17">
        <v>13293</v>
      </c>
      <c r="J25" s="19">
        <v>10507</v>
      </c>
      <c r="K25" s="18">
        <v>4606</v>
      </c>
      <c r="L25" s="19">
        <v>2928</v>
      </c>
    </row>
    <row r="26" spans="1:12" ht="11.25">
      <c r="A26" s="51" t="s">
        <v>23</v>
      </c>
      <c r="G26" s="13"/>
      <c r="H26" s="14"/>
      <c r="I26" s="14"/>
      <c r="J26" s="15"/>
      <c r="K26" s="13"/>
      <c r="L26" s="15"/>
    </row>
    <row r="27" spans="1:12" ht="11.25">
      <c r="A27" s="20" t="s">
        <v>12</v>
      </c>
      <c r="C27" s="12">
        <f>(C11+G11)/2</f>
        <v>151928</v>
      </c>
      <c r="D27" s="12">
        <f>(D11+H11)/2</f>
        <v>166571</v>
      </c>
      <c r="E27" s="12">
        <f>(E11+I11)/2</f>
        <v>155743</v>
      </c>
      <c r="F27" s="12">
        <f>+(F11+J11)/2</f>
        <v>147626</v>
      </c>
      <c r="G27" s="13">
        <f>+(G11+K11)/2</f>
        <v>137694</v>
      </c>
      <c r="H27" s="14">
        <f>+(114347+H11)/2</f>
        <v>146801</v>
      </c>
      <c r="I27" s="14">
        <f>+(109883+I11)/2</f>
        <v>128894.5</v>
      </c>
      <c r="J27" s="15">
        <f>+(99659+J11)/2</f>
        <v>118592.5</v>
      </c>
      <c r="K27" s="13">
        <f>+(K11+L11)/2</f>
        <v>101014</v>
      </c>
      <c r="L27" s="15">
        <f>+(37133+L11)/2</f>
        <v>57878.5</v>
      </c>
    </row>
    <row r="28" spans="1:12" ht="11.25">
      <c r="A28" s="20" t="s">
        <v>24</v>
      </c>
      <c r="C28" s="12">
        <f aca="true" t="shared" si="4" ref="C28:L28">C29+C30</f>
        <v>128894.5</v>
      </c>
      <c r="D28" s="12">
        <f t="shared" si="4"/>
        <v>131572.5</v>
      </c>
      <c r="E28" s="12">
        <f t="shared" si="4"/>
        <v>124093.5</v>
      </c>
      <c r="F28" s="12">
        <f t="shared" si="4"/>
        <v>120235</v>
      </c>
      <c r="G28" s="13">
        <f t="shared" si="4"/>
        <v>114629.5</v>
      </c>
      <c r="H28" s="14">
        <f t="shared" si="4"/>
        <v>113109</v>
      </c>
      <c r="I28" s="14">
        <f t="shared" si="4"/>
        <v>107283</v>
      </c>
      <c r="J28" s="15">
        <f t="shared" si="4"/>
        <v>90613.5</v>
      </c>
      <c r="K28" s="13">
        <f t="shared" si="4"/>
        <v>79190</v>
      </c>
      <c r="L28" s="15">
        <f t="shared" si="4"/>
        <v>43514.5</v>
      </c>
    </row>
    <row r="29" spans="1:12" ht="11.25">
      <c r="A29" s="20"/>
      <c r="B29" s="1" t="s">
        <v>14</v>
      </c>
      <c r="C29" s="12">
        <f>(C13+G13)/2</f>
        <v>128781.5</v>
      </c>
      <c r="D29" s="12">
        <f>(D13+H13)/2</f>
        <v>131083</v>
      </c>
      <c r="E29" s="12">
        <f>(E13+I13)/2</f>
        <v>123980.5</v>
      </c>
      <c r="F29" s="12">
        <f>+(F13+J13)/2</f>
        <v>120116</v>
      </c>
      <c r="G29" s="13">
        <f>+(G13+K13)/2</f>
        <v>114510.5</v>
      </c>
      <c r="H29" s="14">
        <f>+(84477+H13)/2</f>
        <v>112615</v>
      </c>
      <c r="I29" s="14">
        <f>+(86576+I13)/2</f>
        <v>105885</v>
      </c>
      <c r="J29" s="15">
        <f>+(70032+J13)/2</f>
        <v>89209</v>
      </c>
      <c r="K29" s="13">
        <f>+(K13+L13)/2</f>
        <v>77785.5</v>
      </c>
      <c r="L29" s="15">
        <f>+(20794+L13)/2</f>
        <v>41988</v>
      </c>
    </row>
    <row r="30" spans="1:12" ht="11.25">
      <c r="A30" s="20"/>
      <c r="B30" s="1" t="s">
        <v>17</v>
      </c>
      <c r="C30" s="12">
        <f>(C16+G16)/2</f>
        <v>113</v>
      </c>
      <c r="D30" s="12">
        <f>(D16+H16)/2</f>
        <v>489.5</v>
      </c>
      <c r="E30" s="12">
        <f>(E16+I16)/2</f>
        <v>113</v>
      </c>
      <c r="F30" s="12">
        <f>+(F16+J16)/2</f>
        <v>119</v>
      </c>
      <c r="G30" s="13">
        <f>+(G16+K16)/2</f>
        <v>119</v>
      </c>
      <c r="H30" s="14">
        <f>+(122+H16)/2</f>
        <v>494</v>
      </c>
      <c r="I30" s="14">
        <f>+(2683+I16)/2</f>
        <v>1398</v>
      </c>
      <c r="J30" s="15">
        <f>+(2684+J16)/2</f>
        <v>1404.5</v>
      </c>
      <c r="K30" s="13">
        <f>+(K16+L16)/2</f>
        <v>1404.5</v>
      </c>
      <c r="L30" s="15">
        <f>+(369+L16)/2</f>
        <v>1526.5</v>
      </c>
    </row>
    <row r="31" spans="1:12" ht="11.25">
      <c r="A31" s="52" t="s">
        <v>22</v>
      </c>
      <c r="B31" s="2"/>
      <c r="C31" s="17">
        <f>(C25+G25)/2</f>
        <v>14572</v>
      </c>
      <c r="D31" s="17">
        <f>(D25+H25)/2</f>
        <v>14407.5</v>
      </c>
      <c r="E31" s="17">
        <f>(E25+I25)/2</f>
        <v>14054.5</v>
      </c>
      <c r="F31" s="17">
        <f>+(F25+J25)/2</f>
        <v>12591.5</v>
      </c>
      <c r="G31" s="18">
        <f>+(G25+K25)/2</f>
        <v>9437.5</v>
      </c>
      <c r="H31" s="17">
        <f>+(4038+H25)/2</f>
        <v>8934</v>
      </c>
      <c r="I31" s="17">
        <f>+(3614+I25)/2</f>
        <v>8453.5</v>
      </c>
      <c r="J31" s="19">
        <f>+(3137+J25)/2</f>
        <v>6822</v>
      </c>
      <c r="K31" s="18">
        <f>+(K25+L25)/2</f>
        <v>3767</v>
      </c>
      <c r="L31" s="19">
        <f>+(3022+L25)/2</f>
        <v>2975</v>
      </c>
    </row>
    <row r="32" spans="1:12" ht="11.25">
      <c r="A32" s="51" t="s">
        <v>25</v>
      </c>
      <c r="G32" s="20"/>
      <c r="H32" s="21"/>
      <c r="I32" s="21"/>
      <c r="J32" s="22"/>
      <c r="K32" s="20"/>
      <c r="L32" s="22"/>
    </row>
    <row r="33" spans="1:12" ht="11.25">
      <c r="A33" s="20" t="s">
        <v>26</v>
      </c>
      <c r="C33" s="12">
        <v>15545</v>
      </c>
      <c r="D33" s="12">
        <v>11652</v>
      </c>
      <c r="E33" s="12">
        <v>7805</v>
      </c>
      <c r="F33" s="12">
        <v>4001</v>
      </c>
      <c r="G33" s="13">
        <v>15006</v>
      </c>
      <c r="H33" s="14">
        <v>10764</v>
      </c>
      <c r="I33" s="14">
        <v>6626</v>
      </c>
      <c r="J33" s="15">
        <v>3146</v>
      </c>
      <c r="K33" s="13">
        <v>8893</v>
      </c>
      <c r="L33" s="15">
        <v>3766</v>
      </c>
    </row>
    <row r="34" spans="1:12" ht="11.25">
      <c r="A34" s="20" t="s">
        <v>27</v>
      </c>
      <c r="C34" s="12">
        <v>11996</v>
      </c>
      <c r="D34" s="12">
        <v>8945</v>
      </c>
      <c r="E34" s="12">
        <v>5927</v>
      </c>
      <c r="F34" s="12">
        <v>3080</v>
      </c>
      <c r="G34" s="13">
        <v>12219</v>
      </c>
      <c r="H34" s="14">
        <v>8705</v>
      </c>
      <c r="I34" s="14">
        <v>5232</v>
      </c>
      <c r="J34" s="15">
        <v>2546</v>
      </c>
      <c r="K34" s="13">
        <v>7476</v>
      </c>
      <c r="L34" s="15">
        <v>3328</v>
      </c>
    </row>
    <row r="35" spans="1:12" ht="11.25">
      <c r="A35" s="20" t="s">
        <v>28</v>
      </c>
      <c r="C35" s="12">
        <f>+C33-C34</f>
        <v>3549</v>
      </c>
      <c r="D35" s="12">
        <f aca="true" t="shared" si="5" ref="D35:L35">D33-D34</f>
        <v>2707</v>
      </c>
      <c r="E35" s="12">
        <f t="shared" si="5"/>
        <v>1878</v>
      </c>
      <c r="F35" s="12">
        <f t="shared" si="5"/>
        <v>921</v>
      </c>
      <c r="G35" s="13">
        <f t="shared" si="5"/>
        <v>2787</v>
      </c>
      <c r="H35" s="14">
        <f t="shared" si="5"/>
        <v>2059</v>
      </c>
      <c r="I35" s="14">
        <f t="shared" si="5"/>
        <v>1394</v>
      </c>
      <c r="J35" s="15">
        <f t="shared" si="5"/>
        <v>600</v>
      </c>
      <c r="K35" s="13">
        <f t="shared" si="5"/>
        <v>1417</v>
      </c>
      <c r="L35" s="15">
        <f t="shared" si="5"/>
        <v>438</v>
      </c>
    </row>
    <row r="36" spans="1:12" ht="11.25">
      <c r="A36" s="20" t="s">
        <v>29</v>
      </c>
      <c r="C36" s="12">
        <v>686</v>
      </c>
      <c r="D36" s="12">
        <v>516</v>
      </c>
      <c r="E36" s="12">
        <v>345</v>
      </c>
      <c r="F36" s="12">
        <v>158</v>
      </c>
      <c r="G36" s="13">
        <v>1014</v>
      </c>
      <c r="H36" s="14">
        <v>758</v>
      </c>
      <c r="I36" s="14">
        <v>517</v>
      </c>
      <c r="J36" s="15">
        <v>264</v>
      </c>
      <c r="K36" s="13">
        <v>812</v>
      </c>
      <c r="L36" s="15">
        <v>614</v>
      </c>
    </row>
    <row r="37" spans="1:12" ht="11.25">
      <c r="A37" s="20" t="s">
        <v>30</v>
      </c>
      <c r="C37" s="12">
        <f>+C36+C35</f>
        <v>4235</v>
      </c>
      <c r="D37" s="12">
        <f>D35+D36</f>
        <v>3223</v>
      </c>
      <c r="E37" s="12">
        <v>2223</v>
      </c>
      <c r="F37" s="12">
        <f aca="true" t="shared" si="6" ref="F37:L37">F35+F36</f>
        <v>1079</v>
      </c>
      <c r="G37" s="13">
        <f t="shared" si="6"/>
        <v>3801</v>
      </c>
      <c r="H37" s="14">
        <f t="shared" si="6"/>
        <v>2817</v>
      </c>
      <c r="I37" s="14">
        <f t="shared" si="6"/>
        <v>1911</v>
      </c>
      <c r="J37" s="15">
        <f t="shared" si="6"/>
        <v>864</v>
      </c>
      <c r="K37" s="13">
        <f t="shared" si="6"/>
        <v>2229</v>
      </c>
      <c r="L37" s="15">
        <f t="shared" si="6"/>
        <v>1052</v>
      </c>
    </row>
    <row r="38" spans="1:12" ht="11.25">
      <c r="A38" s="20" t="s">
        <v>31</v>
      </c>
      <c r="C38" s="12">
        <v>984</v>
      </c>
      <c r="D38" s="12">
        <v>689</v>
      </c>
      <c r="E38" s="12">
        <v>459</v>
      </c>
      <c r="F38" s="12">
        <v>222</v>
      </c>
      <c r="G38" s="13">
        <v>938</v>
      </c>
      <c r="H38" s="14">
        <v>709</v>
      </c>
      <c r="I38" s="14">
        <v>490</v>
      </c>
      <c r="J38" s="15">
        <v>228</v>
      </c>
      <c r="K38" s="13">
        <v>624</v>
      </c>
      <c r="L38" s="15">
        <v>597</v>
      </c>
    </row>
    <row r="39" spans="1:12" ht="11.25">
      <c r="A39" s="20" t="s">
        <v>32</v>
      </c>
      <c r="C39" s="12">
        <f>+C37-C38</f>
        <v>3251</v>
      </c>
      <c r="D39" s="12">
        <f aca="true" t="shared" si="7" ref="D39:L39">D37-D38</f>
        <v>2534</v>
      </c>
      <c r="E39" s="12">
        <f t="shared" si="7"/>
        <v>1764</v>
      </c>
      <c r="F39" s="12">
        <f t="shared" si="7"/>
        <v>857</v>
      </c>
      <c r="G39" s="13">
        <f t="shared" si="7"/>
        <v>2863</v>
      </c>
      <c r="H39" s="14">
        <f t="shared" si="7"/>
        <v>2108</v>
      </c>
      <c r="I39" s="14">
        <f t="shared" si="7"/>
        <v>1421</v>
      </c>
      <c r="J39" s="15">
        <f t="shared" si="7"/>
        <v>636</v>
      </c>
      <c r="K39" s="13">
        <f t="shared" si="7"/>
        <v>1605</v>
      </c>
      <c r="L39" s="15">
        <f t="shared" si="7"/>
        <v>455</v>
      </c>
    </row>
    <row r="40" spans="1:12" ht="11.25">
      <c r="A40" s="52" t="s">
        <v>33</v>
      </c>
      <c r="B40" s="2"/>
      <c r="C40" s="17">
        <f>+C39-2644</f>
        <v>607</v>
      </c>
      <c r="D40" s="17">
        <v>716</v>
      </c>
      <c r="E40" s="17">
        <v>547</v>
      </c>
      <c r="F40" s="17">
        <f>+F39-450</f>
        <v>407</v>
      </c>
      <c r="G40" s="18">
        <v>2398</v>
      </c>
      <c r="H40" s="17">
        <v>1958</v>
      </c>
      <c r="I40" s="17">
        <v>1421</v>
      </c>
      <c r="J40" s="19">
        <v>636</v>
      </c>
      <c r="K40" s="18">
        <v>1605</v>
      </c>
      <c r="L40" s="19">
        <v>455</v>
      </c>
    </row>
    <row r="41" spans="1:12" ht="11.25">
      <c r="A41" s="53" t="s">
        <v>34</v>
      </c>
      <c r="B41" s="3"/>
      <c r="C41" s="21"/>
      <c r="D41" s="21"/>
      <c r="E41" s="12"/>
      <c r="F41" s="3"/>
      <c r="G41" s="23"/>
      <c r="H41" s="3"/>
      <c r="I41" s="3"/>
      <c r="J41" s="24"/>
      <c r="K41" s="23"/>
      <c r="L41" s="24"/>
    </row>
    <row r="42" spans="1:12" ht="11.25">
      <c r="A42" s="20" t="s">
        <v>35</v>
      </c>
      <c r="B42" s="21"/>
      <c r="C42" s="14">
        <v>7060</v>
      </c>
      <c r="D42" s="14">
        <v>11718</v>
      </c>
      <c r="E42" s="12">
        <v>33924</v>
      </c>
      <c r="F42" s="14">
        <v>763</v>
      </c>
      <c r="G42" s="13">
        <v>471</v>
      </c>
      <c r="H42" s="14">
        <v>621</v>
      </c>
      <c r="I42" s="14">
        <v>681</v>
      </c>
      <c r="J42" s="15">
        <v>0</v>
      </c>
      <c r="K42" s="13">
        <v>0</v>
      </c>
      <c r="L42" s="15">
        <v>0</v>
      </c>
    </row>
    <row r="43" spans="1:12" ht="11.25">
      <c r="A43" s="20" t="s">
        <v>36</v>
      </c>
      <c r="B43" s="21"/>
      <c r="C43" s="14">
        <v>0</v>
      </c>
      <c r="D43" s="14">
        <v>0</v>
      </c>
      <c r="E43" s="12">
        <v>0</v>
      </c>
      <c r="F43" s="14">
        <v>0</v>
      </c>
      <c r="G43" s="13">
        <v>0</v>
      </c>
      <c r="H43" s="14">
        <v>0</v>
      </c>
      <c r="I43" s="14">
        <v>44</v>
      </c>
      <c r="J43" s="15">
        <v>5</v>
      </c>
      <c r="K43" s="13">
        <v>5</v>
      </c>
      <c r="L43" s="15">
        <v>5</v>
      </c>
    </row>
    <row r="44" spans="1:12" ht="11.25">
      <c r="A44" s="20" t="s">
        <v>37</v>
      </c>
      <c r="B44" s="21"/>
      <c r="C44" s="25">
        <f>C42/C13</f>
        <v>0.058380398739777226</v>
      </c>
      <c r="D44" s="25">
        <f>D42/D13</f>
        <v>0.09651355291443256</v>
      </c>
      <c r="E44" s="25">
        <f>E42/E13</f>
        <v>0.27632832927415346</v>
      </c>
      <c r="F44" s="26">
        <f>+F42/F13</f>
        <v>0.005787054593996026</v>
      </c>
      <c r="G44" s="27">
        <f aca="true" t="shared" si="8" ref="G44:L44">G42/G13</f>
        <v>0.0034472158791498332</v>
      </c>
      <c r="H44" s="26">
        <f t="shared" si="8"/>
        <v>0.004411984114015332</v>
      </c>
      <c r="I44" s="26">
        <f t="shared" si="8"/>
        <v>0.005439557806284646</v>
      </c>
      <c r="J44" s="28">
        <f t="shared" si="8"/>
        <v>0</v>
      </c>
      <c r="K44" s="27">
        <f t="shared" si="8"/>
        <v>0</v>
      </c>
      <c r="L44" s="28">
        <f t="shared" si="8"/>
        <v>0</v>
      </c>
    </row>
    <row r="45" spans="1:12" ht="11.25">
      <c r="A45" s="54" t="s">
        <v>38</v>
      </c>
      <c r="B45" s="29"/>
      <c r="C45" s="25">
        <v>0</v>
      </c>
      <c r="D45" s="25">
        <v>0</v>
      </c>
      <c r="E45" s="25">
        <v>0</v>
      </c>
      <c r="F45" s="30">
        <f>+F43/F42</f>
        <v>0</v>
      </c>
      <c r="G45" s="31">
        <f aca="true" t="shared" si="9" ref="G45:L45">G42/G13</f>
        <v>0.0034472158791498332</v>
      </c>
      <c r="H45" s="30">
        <f t="shared" si="9"/>
        <v>0.004411984114015332</v>
      </c>
      <c r="I45" s="30">
        <f t="shared" si="9"/>
        <v>0.005439557806284646</v>
      </c>
      <c r="J45" s="32">
        <f t="shared" si="9"/>
        <v>0</v>
      </c>
      <c r="K45" s="31">
        <f t="shared" si="9"/>
        <v>0</v>
      </c>
      <c r="L45" s="32">
        <f t="shared" si="9"/>
        <v>0</v>
      </c>
    </row>
    <row r="46" spans="1:12" ht="11.25">
      <c r="A46" s="52" t="s">
        <v>39</v>
      </c>
      <c r="B46" s="2"/>
      <c r="C46" s="33">
        <f>C43/C13</f>
        <v>0</v>
      </c>
      <c r="D46" s="33">
        <f>D43/D13</f>
        <v>0</v>
      </c>
      <c r="E46" s="33">
        <f>E43/E13</f>
        <v>0</v>
      </c>
      <c r="F46" s="33">
        <f>+F43/F13</f>
        <v>0</v>
      </c>
      <c r="G46" s="34">
        <f>+G43/G13</f>
        <v>0</v>
      </c>
      <c r="H46" s="33">
        <f>+H43/H13</f>
        <v>0</v>
      </c>
      <c r="I46" s="33">
        <f>44/I13</f>
        <v>0.00035145454254996244</v>
      </c>
      <c r="J46" s="35">
        <f>5/J13</f>
        <v>4.613141918697987E-05</v>
      </c>
      <c r="K46" s="34">
        <f>5/K13</f>
        <v>5.4118996850274384E-05</v>
      </c>
      <c r="L46" s="35">
        <f>5/L13</f>
        <v>7.913646291665348E-05</v>
      </c>
    </row>
    <row r="47" spans="1:12" s="36" customFormat="1" ht="11.25">
      <c r="A47" s="55" t="s">
        <v>40</v>
      </c>
      <c r="C47" s="37"/>
      <c r="D47" s="37"/>
      <c r="E47" s="37"/>
      <c r="F47" s="38"/>
      <c r="G47" s="37"/>
      <c r="H47" s="37"/>
      <c r="I47" s="37"/>
      <c r="J47" s="38"/>
      <c r="K47" s="59"/>
      <c r="L47" s="38"/>
    </row>
    <row r="48" spans="1:12" s="36" customFormat="1" ht="11.25">
      <c r="A48" s="54" t="s">
        <v>41</v>
      </c>
      <c r="C48" s="30">
        <f aca="true" t="shared" si="10" ref="C48:L48">+C25/C13</f>
        <v>0.12300402708982808</v>
      </c>
      <c r="D48" s="30">
        <f t="shared" si="10"/>
        <v>0.12342170937214302</v>
      </c>
      <c r="E48" s="30">
        <f t="shared" si="10"/>
        <v>0.12068389713848184</v>
      </c>
      <c r="F48" s="32">
        <f t="shared" si="10"/>
        <v>0.11131168181059721</v>
      </c>
      <c r="G48" s="30">
        <f t="shared" si="10"/>
        <v>0.10443380759997659</v>
      </c>
      <c r="H48" s="30">
        <f t="shared" si="10"/>
        <v>0.09825723075174242</v>
      </c>
      <c r="I48" s="30">
        <f t="shared" si="10"/>
        <v>0.10617920986628752</v>
      </c>
      <c r="J48" s="32">
        <f t="shared" si="10"/>
        <v>0.0969405642795195</v>
      </c>
      <c r="K48" s="31">
        <f t="shared" si="10"/>
        <v>0.04985441989847276</v>
      </c>
      <c r="L48" s="32">
        <f t="shared" si="10"/>
        <v>0.046342312683992276</v>
      </c>
    </row>
    <row r="49" spans="1:12" s="36" customFormat="1" ht="11.25">
      <c r="A49" s="56" t="s">
        <v>42</v>
      </c>
      <c r="B49" s="39"/>
      <c r="C49" s="40">
        <f aca="true" t="shared" si="11" ref="C49:L49">C25/(C13+C16)</f>
        <v>0.12288919731667823</v>
      </c>
      <c r="D49" s="40">
        <f t="shared" si="11"/>
        <v>0.12330694666161973</v>
      </c>
      <c r="E49" s="40">
        <f t="shared" si="11"/>
        <v>0.12057291666666667</v>
      </c>
      <c r="F49" s="41">
        <f t="shared" si="11"/>
        <v>0.11121636265809835</v>
      </c>
      <c r="G49" s="40">
        <f t="shared" si="11"/>
        <v>0.10434750813558083</v>
      </c>
      <c r="H49" s="40">
        <f t="shared" si="11"/>
        <v>0.09765638791405108</v>
      </c>
      <c r="I49" s="40">
        <f t="shared" si="11"/>
        <v>0.10608345902463549</v>
      </c>
      <c r="J49" s="41">
        <f t="shared" si="11"/>
        <v>0.0968288929232981</v>
      </c>
      <c r="K49" s="44">
        <f t="shared" si="11"/>
        <v>0.0497870592558964</v>
      </c>
      <c r="L49" s="41">
        <f t="shared" si="11"/>
        <v>0.04445389123371694</v>
      </c>
    </row>
    <row r="50" spans="1:12" ht="11.25">
      <c r="A50" s="51" t="s">
        <v>43</v>
      </c>
      <c r="G50" s="20"/>
      <c r="H50" s="21"/>
      <c r="I50" s="21"/>
      <c r="J50" s="22"/>
      <c r="K50" s="20"/>
      <c r="L50" s="22"/>
    </row>
    <row r="51" spans="1:12" ht="11.25">
      <c r="A51" s="20" t="s">
        <v>44</v>
      </c>
      <c r="C51" s="42">
        <f aca="true" t="shared" si="12" ref="C51:L51">C12/C17</f>
        <v>0.36847057481751827</v>
      </c>
      <c r="D51" s="42">
        <f t="shared" si="12"/>
        <v>0.42721210896599865</v>
      </c>
      <c r="E51" s="42">
        <f t="shared" si="12"/>
        <v>0.5270778645354378</v>
      </c>
      <c r="F51" s="25">
        <f t="shared" si="12"/>
        <v>0.3787980800556002</v>
      </c>
      <c r="G51" s="27">
        <f t="shared" si="12"/>
        <v>0.1743849666483372</v>
      </c>
      <c r="H51" s="26">
        <f t="shared" si="12"/>
        <v>0.4290504823576054</v>
      </c>
      <c r="I51" s="26">
        <f t="shared" si="12"/>
        <v>0.20210290153531904</v>
      </c>
      <c r="J51" s="28">
        <f t="shared" si="12"/>
        <v>0.375159142992252</v>
      </c>
      <c r="K51" s="27">
        <f t="shared" si="12"/>
        <v>0.5917710840663173</v>
      </c>
      <c r="L51" s="28">
        <f t="shared" si="12"/>
        <v>0.2947848456501403</v>
      </c>
    </row>
    <row r="52" spans="1:12" ht="11.25">
      <c r="A52" s="20" t="s">
        <v>45</v>
      </c>
      <c r="C52" s="42">
        <f aca="true" t="shared" si="13" ref="C52:L52">C12/C11</f>
        <v>0.17018278550358196</v>
      </c>
      <c r="D52" s="42">
        <f t="shared" si="13"/>
        <v>0.1511303748854679</v>
      </c>
      <c r="E52" s="42">
        <f t="shared" si="13"/>
        <v>0.19271304560459715</v>
      </c>
      <c r="F52" s="25">
        <f t="shared" si="13"/>
        <v>0.11057783751569177</v>
      </c>
      <c r="G52" s="27">
        <f t="shared" si="13"/>
        <v>0.04799189388356669</v>
      </c>
      <c r="H52" s="26">
        <f t="shared" si="13"/>
        <v>0.14489414521212798</v>
      </c>
      <c r="I52" s="26">
        <f t="shared" si="13"/>
        <v>0.08161264586967398</v>
      </c>
      <c r="J52" s="28">
        <f t="shared" si="13"/>
        <v>0.1499861844305804</v>
      </c>
      <c r="K52" s="27">
        <f t="shared" si="13"/>
        <v>0.21316975138569252</v>
      </c>
      <c r="L52" s="28">
        <f t="shared" si="13"/>
        <v>0.12825600325600325</v>
      </c>
    </row>
    <row r="53" spans="1:12" ht="11.25">
      <c r="A53" s="52" t="s">
        <v>46</v>
      </c>
      <c r="B53" s="2"/>
      <c r="C53" s="43">
        <f aca="true" t="shared" si="14" ref="C53:L53">(C12+C16)/C17</f>
        <v>0.3700815465328467</v>
      </c>
      <c r="D53" s="43">
        <f t="shared" si="14"/>
        <v>0.42928782674185784</v>
      </c>
      <c r="E53" s="43">
        <f t="shared" si="14"/>
        <v>0.5289672122924644</v>
      </c>
      <c r="F53" s="33">
        <f t="shared" si="14"/>
        <v>0.3812523076254805</v>
      </c>
      <c r="G53" s="34">
        <f t="shared" si="14"/>
        <v>0.17708657087527196</v>
      </c>
      <c r="H53" s="33">
        <f t="shared" si="14"/>
        <v>0.44335601955860976</v>
      </c>
      <c r="I53" s="33">
        <f t="shared" si="14"/>
        <v>0.2039948432032414</v>
      </c>
      <c r="J53" s="35">
        <f t="shared" si="14"/>
        <v>0.37743261431013786</v>
      </c>
      <c r="K53" s="34">
        <f t="shared" si="14"/>
        <v>0.5945830427642679</v>
      </c>
      <c r="L53" s="35">
        <f t="shared" si="14"/>
        <v>0.37324602432179604</v>
      </c>
    </row>
    <row r="54" spans="1:12" ht="11.25">
      <c r="A54" s="51" t="s">
        <v>47</v>
      </c>
      <c r="G54" s="20"/>
      <c r="H54" s="21"/>
      <c r="I54" s="21"/>
      <c r="J54" s="22"/>
      <c r="K54" s="20"/>
      <c r="L54" s="22"/>
    </row>
    <row r="55" spans="1:12" ht="11.25">
      <c r="A55" s="20" t="s">
        <v>48</v>
      </c>
      <c r="B55" s="21"/>
      <c r="C55" s="30">
        <f>C40/C28</f>
        <v>0.004709277742649997</v>
      </c>
      <c r="D55" s="30">
        <f>(D40/0.75)/D28</f>
        <v>0.007255822201954562</v>
      </c>
      <c r="E55" s="25">
        <f>(E40/0.5)/E28</f>
        <v>0.008815933147183375</v>
      </c>
      <c r="F55" s="25">
        <f>((F40)/0.25)/F28</f>
        <v>0.013540150538528714</v>
      </c>
      <c r="G55" s="31">
        <f>G40/G28</f>
        <v>0.02091957131453945</v>
      </c>
      <c r="H55" s="30">
        <f>(H40/0.75)/H28</f>
        <v>0.02308098088274732</v>
      </c>
      <c r="I55" s="30">
        <f>(I40/0.5)/I28</f>
        <v>0.0264906835192901</v>
      </c>
      <c r="J55" s="28">
        <f>((J40)/0.25)/J28</f>
        <v>0.028075286795013987</v>
      </c>
      <c r="K55" s="27">
        <f>K40/K28</f>
        <v>0.020267710569516352</v>
      </c>
      <c r="L55" s="28">
        <f>L40/L28</f>
        <v>0.010456284686713625</v>
      </c>
    </row>
    <row r="56" spans="1:12" ht="11.25">
      <c r="A56" s="20" t="s">
        <v>49</v>
      </c>
      <c r="B56" s="21"/>
      <c r="C56" s="30">
        <f>C40/C27</f>
        <v>0.0039953135695855934</v>
      </c>
      <c r="D56" s="30">
        <f>(D40/0.75)/D27</f>
        <v>0.0057312897603224245</v>
      </c>
      <c r="E56" s="25">
        <f>(E40/0.5)/E27</f>
        <v>0.007024392749593883</v>
      </c>
      <c r="F56" s="25">
        <f>((F40)/0.25)/F27</f>
        <v>0.011027867719778359</v>
      </c>
      <c r="G56" s="31">
        <f>G40/G27</f>
        <v>0.017415428413728992</v>
      </c>
      <c r="H56" s="30">
        <f>(H40/0.75)/H27</f>
        <v>0.017783711736750203</v>
      </c>
      <c r="I56" s="30">
        <f>(I40/0.5)/I27</f>
        <v>0.02204904010644364</v>
      </c>
      <c r="J56" s="28">
        <f>((J40)/0.25)/J27</f>
        <v>0.021451609503130468</v>
      </c>
      <c r="K56" s="27">
        <f>K40/K27</f>
        <v>0.015888886688973806</v>
      </c>
      <c r="L56" s="28">
        <f>L40/L27</f>
        <v>0.007861295645187763</v>
      </c>
    </row>
    <row r="57" spans="1:12" ht="11.25">
      <c r="A57" s="20" t="s">
        <v>50</v>
      </c>
      <c r="B57" s="21"/>
      <c r="C57" s="30">
        <f>+C40/C31</f>
        <v>0.04165522920669778</v>
      </c>
      <c r="D57" s="30">
        <f>(D40/0.75)/D31</f>
        <v>0.06626178494996819</v>
      </c>
      <c r="E57" s="25">
        <f>(E40/0.5)/E31</f>
        <v>0.0778398377743783</v>
      </c>
      <c r="F57" s="25">
        <f>((F40)/0.25)/F31</f>
        <v>0.12929357105984196</v>
      </c>
      <c r="G57" s="31">
        <f>+G40/G31</f>
        <v>0.25409271523178806</v>
      </c>
      <c r="H57" s="30">
        <f>(H40/0.75)/H31</f>
        <v>0.2922169987314379</v>
      </c>
      <c r="I57" s="30">
        <f>(I40/0.5)/I31</f>
        <v>0.3361921097770154</v>
      </c>
      <c r="J57" s="28">
        <f>((J40)/0.25)/J31</f>
        <v>0.3729111697449428</v>
      </c>
      <c r="K57" s="27">
        <f>K40/K31</f>
        <v>0.4260684895142023</v>
      </c>
      <c r="L57" s="28">
        <f>L40/L31</f>
        <v>0.15294117647058825</v>
      </c>
    </row>
    <row r="58" spans="1:12" ht="11.25">
      <c r="A58" s="20" t="s">
        <v>51</v>
      </c>
      <c r="B58" s="21"/>
      <c r="C58" s="30">
        <f>C33/C28</f>
        <v>0.12060250825287347</v>
      </c>
      <c r="D58" s="30">
        <f>(D33/0.75)/D28</f>
        <v>0.1180793858899086</v>
      </c>
      <c r="E58" s="25">
        <f>(E33/0.5)/E28</f>
        <v>0.1257922453633752</v>
      </c>
      <c r="F58" s="25">
        <f>((F33)/0.25)/F28</f>
        <v>0.13310600074853413</v>
      </c>
      <c r="G58" s="31">
        <f>G33/G28</f>
        <v>0.13090871023602127</v>
      </c>
      <c r="H58" s="30">
        <f>(H33/0.75)/H28</f>
        <v>0.12688645465878046</v>
      </c>
      <c r="I58" s="30">
        <f>(I33/0.5)/I28</f>
        <v>0.12352376424969473</v>
      </c>
      <c r="J58" s="28">
        <f>((J33)/0.25)/J28</f>
        <v>0.1388755538633868</v>
      </c>
      <c r="K58" s="27">
        <f>K33/K28</f>
        <v>0.11229953276928906</v>
      </c>
      <c r="L58" s="28">
        <f>L33/L27</f>
        <v>0.06506733934016949</v>
      </c>
    </row>
    <row r="59" spans="1:12" ht="11.25">
      <c r="A59" s="20" t="s">
        <v>52</v>
      </c>
      <c r="B59" s="21"/>
      <c r="C59" s="30">
        <f>C34/C28</f>
        <v>0.0930683621100978</v>
      </c>
      <c r="D59" s="30">
        <f>(D34/0.75)/D28</f>
        <v>0.09064710837497704</v>
      </c>
      <c r="E59" s="25">
        <f>(E34/0.5)/E28</f>
        <v>0.09552474545403264</v>
      </c>
      <c r="F59" s="25">
        <f>((F34)/0.25)/F28</f>
        <v>0.10246600407535243</v>
      </c>
      <c r="G59" s="31">
        <f>G34/G28</f>
        <v>0.10659559711941516</v>
      </c>
      <c r="H59" s="30">
        <f>(H34/0.75)/H28</f>
        <v>0.10261488181017131</v>
      </c>
      <c r="I59" s="30">
        <f>(I34/0.5)/I28</f>
        <v>0.0975364223595537</v>
      </c>
      <c r="J59" s="28">
        <f>((J34)/0.25)/J28</f>
        <v>0.11238943424544907</v>
      </c>
      <c r="K59" s="27">
        <f>K34/K28</f>
        <v>0.09440585932567243</v>
      </c>
      <c r="L59" s="28">
        <f>L34/L27</f>
        <v>0.05749976243337336</v>
      </c>
    </row>
    <row r="60" spans="1:12" ht="11.25">
      <c r="A60" s="20" t="s">
        <v>53</v>
      </c>
      <c r="B60" s="21"/>
      <c r="C60" s="30">
        <f>C35/C28</f>
        <v>0.027534146142775683</v>
      </c>
      <c r="D60" s="30">
        <f>(D35/0.75)/D28</f>
        <v>0.027432277514931568</v>
      </c>
      <c r="E60" s="25">
        <f>(E35/0.5)/E28</f>
        <v>0.030267499909342552</v>
      </c>
      <c r="F60" s="25">
        <f>((F35)/0.25)/F28</f>
        <v>0.030639996673181687</v>
      </c>
      <c r="G60" s="31">
        <f>G35/G28</f>
        <v>0.02431311311660611</v>
      </c>
      <c r="H60" s="30">
        <f>(H35/0.75)/H28</f>
        <v>0.02427157284860916</v>
      </c>
      <c r="I60" s="30">
        <f>(I35/0.5)/I28</f>
        <v>0.025987341890141027</v>
      </c>
      <c r="J60" s="28">
        <f>((J35)/0.25)/J28</f>
        <v>0.026486119617937724</v>
      </c>
      <c r="K60" s="27">
        <f>K35/K28</f>
        <v>0.017893673443616618</v>
      </c>
      <c r="L60" s="28">
        <f>L35/L27</f>
        <v>0.007567576906796133</v>
      </c>
    </row>
    <row r="61" spans="1:12" ht="11.25">
      <c r="A61" s="20" t="s">
        <v>54</v>
      </c>
      <c r="B61" s="21"/>
      <c r="C61" s="30">
        <f>C38/C37</f>
        <v>0.23234946871310508</v>
      </c>
      <c r="D61" s="30">
        <f>(D38/0.75)/(D37/0.75)</f>
        <v>0.21377598510704313</v>
      </c>
      <c r="E61" s="25">
        <f>(E38/0.5)/(E37/0.5)</f>
        <v>0.20647773279352227</v>
      </c>
      <c r="F61" s="25">
        <f>(F38/0.25)/(F37/0.25)</f>
        <v>0.2057460611677479</v>
      </c>
      <c r="G61" s="31">
        <f>G38/G37</f>
        <v>0.24677716390423574</v>
      </c>
      <c r="H61" s="30">
        <f>(H38/0.75)/(H37/0.75)</f>
        <v>0.25168619098331557</v>
      </c>
      <c r="I61" s="30">
        <f>(I38/0.5)/(I37/0.5)</f>
        <v>0.2564102564102564</v>
      </c>
      <c r="J61" s="28">
        <f>(J38/0.25)/(J37/0.25)</f>
        <v>0.2638888888888889</v>
      </c>
      <c r="K61" s="27">
        <f>K38/K37</f>
        <v>0.27994616419919244</v>
      </c>
      <c r="L61" s="28">
        <f>L38/L37</f>
        <v>0.5674904942965779</v>
      </c>
    </row>
    <row r="62" spans="1:12" ht="11.25">
      <c r="A62" s="52" t="s">
        <v>55</v>
      </c>
      <c r="B62" s="2"/>
      <c r="C62" s="40">
        <f>C36/C28</f>
        <v>0.00532218209465881</v>
      </c>
      <c r="D62" s="40">
        <f>(D36/0.75)/D28</f>
        <v>0.005229056223754964</v>
      </c>
      <c r="E62" s="33">
        <f>(E36/0.5)/E28</f>
        <v>0.005560323465773792</v>
      </c>
      <c r="F62" s="33">
        <f>(F36/0.25)/F28</f>
        <v>0.005256372936333014</v>
      </c>
      <c r="G62" s="44">
        <f>G36/G28</f>
        <v>0.008845890455772729</v>
      </c>
      <c r="H62" s="40">
        <f>(H36/0.75)/H28</f>
        <v>0.008935333763596766</v>
      </c>
      <c r="I62" s="40">
        <f>(I36/0.5)/I28</f>
        <v>0.009638060084076694</v>
      </c>
      <c r="J62" s="35">
        <f>(J36/0.25)/J28</f>
        <v>0.011653892631892598</v>
      </c>
      <c r="K62" s="34">
        <f>K36/K28</f>
        <v>0.01025381992675843</v>
      </c>
      <c r="L62" s="35">
        <f>L36/L27</f>
        <v>0.01060842972779184</v>
      </c>
    </row>
    <row r="63" spans="1:12" ht="11.25">
      <c r="A63" s="51" t="s">
        <v>56</v>
      </c>
      <c r="G63" s="20"/>
      <c r="H63" s="21"/>
      <c r="I63" s="21"/>
      <c r="J63" s="22"/>
      <c r="K63" s="20"/>
      <c r="L63" s="22"/>
    </row>
    <row r="64" spans="1:12" ht="11.25">
      <c r="A64" s="20" t="s">
        <v>57</v>
      </c>
      <c r="C64" s="1">
        <v>5</v>
      </c>
      <c r="D64" s="12">
        <v>5</v>
      </c>
      <c r="E64" s="12">
        <v>5</v>
      </c>
      <c r="F64" s="12">
        <v>5</v>
      </c>
      <c r="G64" s="13">
        <v>5</v>
      </c>
      <c r="H64" s="14">
        <v>5</v>
      </c>
      <c r="I64" s="14">
        <v>5</v>
      </c>
      <c r="J64" s="15">
        <v>5</v>
      </c>
      <c r="K64" s="13">
        <v>5</v>
      </c>
      <c r="L64" s="15">
        <v>5</v>
      </c>
    </row>
    <row r="65" spans="1:12" ht="11.25">
      <c r="A65" s="20" t="s">
        <v>58</v>
      </c>
      <c r="C65" s="1">
        <v>1</v>
      </c>
      <c r="D65" s="12">
        <v>1</v>
      </c>
      <c r="E65" s="12">
        <v>1</v>
      </c>
      <c r="F65" s="12">
        <v>1</v>
      </c>
      <c r="G65" s="13">
        <v>1</v>
      </c>
      <c r="H65" s="14">
        <v>1</v>
      </c>
      <c r="I65" s="14">
        <v>1</v>
      </c>
      <c r="J65" s="15">
        <v>1</v>
      </c>
      <c r="K65" s="13">
        <v>1</v>
      </c>
      <c r="L65" s="15">
        <v>1</v>
      </c>
    </row>
    <row r="66" spans="1:12" ht="11.25">
      <c r="A66" s="20" t="s">
        <v>59</v>
      </c>
      <c r="C66" s="12">
        <f aca="true" t="shared" si="15" ref="C66:L66">C13/C64</f>
        <v>24186.2</v>
      </c>
      <c r="D66" s="12">
        <f t="shared" si="15"/>
        <v>24282.6</v>
      </c>
      <c r="E66" s="12">
        <f t="shared" si="15"/>
        <v>24553.4</v>
      </c>
      <c r="F66" s="12">
        <f t="shared" si="15"/>
        <v>26369.2</v>
      </c>
      <c r="G66" s="13">
        <f t="shared" si="15"/>
        <v>27326.4</v>
      </c>
      <c r="H66" s="14">
        <f t="shared" si="15"/>
        <v>28150.6</v>
      </c>
      <c r="I66" s="14">
        <f t="shared" si="15"/>
        <v>25038.8</v>
      </c>
      <c r="J66" s="15">
        <f t="shared" si="15"/>
        <v>21677.2</v>
      </c>
      <c r="K66" s="13">
        <f t="shared" si="15"/>
        <v>18477.8</v>
      </c>
      <c r="L66" s="15">
        <f t="shared" si="15"/>
        <v>12636.4</v>
      </c>
    </row>
    <row r="67" spans="1:12" ht="11.25">
      <c r="A67" s="20" t="s">
        <v>60</v>
      </c>
      <c r="C67" s="12">
        <f aca="true" t="shared" si="16" ref="C67:L67">+C17/C64</f>
        <v>14028.8</v>
      </c>
      <c r="D67" s="12">
        <f t="shared" si="16"/>
        <v>10887.8</v>
      </c>
      <c r="E67" s="12">
        <f t="shared" si="16"/>
        <v>11961.8</v>
      </c>
      <c r="F67" s="12">
        <f t="shared" si="16"/>
        <v>9208.6</v>
      </c>
      <c r="G67" s="13">
        <f t="shared" si="16"/>
        <v>8365.4</v>
      </c>
      <c r="H67" s="14">
        <f t="shared" si="16"/>
        <v>12107.2</v>
      </c>
      <c r="I67" s="14">
        <f t="shared" si="16"/>
        <v>11945.4</v>
      </c>
      <c r="J67" s="15">
        <f t="shared" si="16"/>
        <v>10996.4</v>
      </c>
      <c r="K67" s="13">
        <f t="shared" si="16"/>
        <v>8890.6</v>
      </c>
      <c r="L67" s="15">
        <f t="shared" si="16"/>
        <v>6841.6</v>
      </c>
    </row>
    <row r="68" spans="1:12" ht="11.25">
      <c r="A68" s="52" t="s">
        <v>61</v>
      </c>
      <c r="B68" s="2"/>
      <c r="C68" s="17">
        <f aca="true" t="shared" si="17" ref="C68:L68">+C40/C64</f>
        <v>121.4</v>
      </c>
      <c r="D68" s="17">
        <f t="shared" si="17"/>
        <v>143.2</v>
      </c>
      <c r="E68" s="17">
        <f t="shared" si="17"/>
        <v>109.4</v>
      </c>
      <c r="F68" s="17">
        <f t="shared" si="17"/>
        <v>81.4</v>
      </c>
      <c r="G68" s="18">
        <f t="shared" si="17"/>
        <v>479.6</v>
      </c>
      <c r="H68" s="17">
        <f t="shared" si="17"/>
        <v>391.6</v>
      </c>
      <c r="I68" s="17">
        <f t="shared" si="17"/>
        <v>284.2</v>
      </c>
      <c r="J68" s="19">
        <f t="shared" si="17"/>
        <v>127.2</v>
      </c>
      <c r="K68" s="18">
        <f t="shared" si="17"/>
        <v>321</v>
      </c>
      <c r="L68" s="19">
        <f t="shared" si="17"/>
        <v>91</v>
      </c>
    </row>
    <row r="69" spans="1:12" ht="11.25">
      <c r="A69" s="51" t="s">
        <v>62</v>
      </c>
      <c r="G69" s="20"/>
      <c r="H69" s="21"/>
      <c r="I69" s="21"/>
      <c r="J69" s="22"/>
      <c r="K69" s="20"/>
      <c r="L69" s="22"/>
    </row>
    <row r="70" spans="1:12" ht="11.25">
      <c r="A70" s="20" t="s">
        <v>63</v>
      </c>
      <c r="C70" s="25">
        <f>(C11/G11)-1</f>
        <v>-0.0007369196757552876</v>
      </c>
      <c r="D70" s="25">
        <f>(D11/H11)-1</f>
        <v>-0.14151906501910683</v>
      </c>
      <c r="E70" s="25">
        <f>(E11/I11)-1</f>
        <v>0.1059727123984151</v>
      </c>
      <c r="F70" s="25">
        <f>+(F11/J11)-1</f>
        <v>0.1468813169873333</v>
      </c>
      <c r="G70" s="27">
        <f>+(G11/K11)-1</f>
        <v>0.23159703089040873</v>
      </c>
      <c r="H70" s="26">
        <f>+(H11/114347)-1</f>
        <v>0.5676406027267877</v>
      </c>
      <c r="I70" s="26">
        <f>+(I11/109883)-1</f>
        <v>0.3460316882502299</v>
      </c>
      <c r="J70" s="28">
        <f>+(J11/99659)-1</f>
        <v>0.37996568297895816</v>
      </c>
      <c r="K70" s="27">
        <f>+(K11/L11)-1</f>
        <v>0.5695461945461946</v>
      </c>
      <c r="L70" s="28">
        <f>+(L11/37133)-1</f>
        <v>1.1173619152775158</v>
      </c>
    </row>
    <row r="71" spans="1:12" ht="11.25">
      <c r="A71" s="20" t="s">
        <v>64</v>
      </c>
      <c r="C71" s="25">
        <f>(C13/G13)-1</f>
        <v>-0.11491451490134086</v>
      </c>
      <c r="D71" s="25">
        <f>(D13/H13)-1</f>
        <v>-0.13740382087770775</v>
      </c>
      <c r="E71" s="25">
        <f>(E13/I13)-1</f>
        <v>-0.019385913062926363</v>
      </c>
      <c r="F71" s="25">
        <f aca="true" t="shared" si="18" ref="F71:L71">SUM(F72:F73)</f>
        <v>0.21644861882530964</v>
      </c>
      <c r="G71" s="27">
        <f t="shared" si="18"/>
        <v>0.47887735552933797</v>
      </c>
      <c r="H71" s="26">
        <f t="shared" si="18"/>
        <v>0.6661694899203334</v>
      </c>
      <c r="I71" s="26">
        <f t="shared" si="18"/>
        <v>0.44605895398262807</v>
      </c>
      <c r="J71" s="28">
        <f t="shared" si="18"/>
        <v>0.5476639250628283</v>
      </c>
      <c r="K71" s="27">
        <f t="shared" si="18"/>
        <v>0.46226773448133973</v>
      </c>
      <c r="L71" s="28">
        <f t="shared" si="18"/>
        <v>2.038472636337405</v>
      </c>
    </row>
    <row r="72" spans="1:12" ht="11.25">
      <c r="A72" s="20"/>
      <c r="B72" s="1" t="s">
        <v>15</v>
      </c>
      <c r="C72" s="25">
        <v>0</v>
      </c>
      <c r="D72" s="25">
        <v>0</v>
      </c>
      <c r="E72" s="25">
        <v>0</v>
      </c>
      <c r="F72" s="25">
        <v>0</v>
      </c>
      <c r="G72" s="27">
        <v>0</v>
      </c>
      <c r="H72" s="26">
        <v>0</v>
      </c>
      <c r="I72" s="26">
        <v>0</v>
      </c>
      <c r="J72" s="28">
        <v>0</v>
      </c>
      <c r="K72" s="27">
        <v>0</v>
      </c>
      <c r="L72" s="28">
        <v>0</v>
      </c>
    </row>
    <row r="73" spans="1:12" ht="11.25">
      <c r="A73" s="20"/>
      <c r="B73" s="1" t="s">
        <v>16</v>
      </c>
      <c r="C73" s="25">
        <f>(C15/G15)-1</f>
        <v>-0.11491451490134086</v>
      </c>
      <c r="D73" s="25">
        <f>(D15/H15)-1</f>
        <v>-0.13740382087770775</v>
      </c>
      <c r="E73" s="25">
        <f>(E15/I15)-1</f>
        <v>-0.019385913062926363</v>
      </c>
      <c r="F73" s="25">
        <f>+(F15/J15)-1</f>
        <v>0.21644861882530964</v>
      </c>
      <c r="G73" s="27">
        <f>+(G15/K15)-1</f>
        <v>0.47887735552933797</v>
      </c>
      <c r="H73" s="26">
        <f>+(H15/84477)-1</f>
        <v>0.6661694899203334</v>
      </c>
      <c r="I73" s="26">
        <f>+(I15/86576)-1</f>
        <v>0.44605895398262807</v>
      </c>
      <c r="J73" s="28">
        <f>+(J15/70032)-1</f>
        <v>0.5476639250628283</v>
      </c>
      <c r="K73" s="27">
        <f>+(K15/L15)-1</f>
        <v>0.46226773448133973</v>
      </c>
      <c r="L73" s="28">
        <f>+(L15/20794)-1</f>
        <v>2.038472636337405</v>
      </c>
    </row>
    <row r="74" spans="1:12" ht="11.25">
      <c r="A74" s="20" t="s">
        <v>65</v>
      </c>
      <c r="C74" s="25">
        <f>(C17/G17)-1</f>
        <v>0.677002892868243</v>
      </c>
      <c r="D74" s="25">
        <f>(D17/H17)-1</f>
        <v>-0.10071692876965777</v>
      </c>
      <c r="E74" s="25">
        <f>(E17/I17)-1</f>
        <v>0.0013729134227400408</v>
      </c>
      <c r="F74" s="25">
        <f aca="true" t="shared" si="19" ref="F74:L74">SUM(F75:F76)</f>
        <v>-0.16258048088465316</v>
      </c>
      <c r="G74" s="27">
        <f t="shared" si="19"/>
        <v>-0.05907362832654717</v>
      </c>
      <c r="H74" s="26">
        <f t="shared" si="19"/>
        <v>0.5178777393310265</v>
      </c>
      <c r="I74" s="26">
        <f t="shared" si="19"/>
        <v>0.4555845295250165</v>
      </c>
      <c r="J74" s="28">
        <f t="shared" si="19"/>
        <v>0.5118235811702596</v>
      </c>
      <c r="K74" s="27">
        <f t="shared" si="19"/>
        <v>0.2994913470533209</v>
      </c>
      <c r="L74" s="28">
        <f t="shared" si="19"/>
        <v>0.7709670739283496</v>
      </c>
    </row>
    <row r="75" spans="1:12" ht="11.25">
      <c r="A75" s="20"/>
      <c r="B75" s="1" t="s">
        <v>15</v>
      </c>
      <c r="C75" s="25">
        <v>0</v>
      </c>
      <c r="D75" s="25">
        <v>0</v>
      </c>
      <c r="E75" s="25">
        <v>0</v>
      </c>
      <c r="F75" s="25">
        <v>0</v>
      </c>
      <c r="G75" s="27">
        <v>0</v>
      </c>
      <c r="H75" s="26">
        <v>0</v>
      </c>
      <c r="I75" s="26">
        <v>0</v>
      </c>
      <c r="J75" s="28">
        <v>0</v>
      </c>
      <c r="K75" s="27">
        <v>0</v>
      </c>
      <c r="L75" s="28">
        <v>0</v>
      </c>
    </row>
    <row r="76" spans="1:12" ht="11.25">
      <c r="A76" s="20"/>
      <c r="B76" s="1" t="s">
        <v>16</v>
      </c>
      <c r="C76" s="25">
        <f>(C22/G22)-1</f>
        <v>0.677002892868243</v>
      </c>
      <c r="D76" s="25">
        <f>(D22/H22)-1</f>
        <v>-0.10071692876965777</v>
      </c>
      <c r="E76" s="25">
        <f>(E22/I22)-1</f>
        <v>0.0013729134227400408</v>
      </c>
      <c r="F76" s="25">
        <f>+(F22/J22)-1</f>
        <v>-0.16258048088465316</v>
      </c>
      <c r="G76" s="27">
        <f>+(G22/K22)-1</f>
        <v>-0.05907362832654717</v>
      </c>
      <c r="H76" s="26">
        <f>+(H22/39882)-1</f>
        <v>0.5178777393310265</v>
      </c>
      <c r="I76" s="26">
        <f>+(I22/41033)-1</f>
        <v>0.4555845295250165</v>
      </c>
      <c r="J76" s="28">
        <f>+(J22/36368)-1</f>
        <v>0.5118235811702596</v>
      </c>
      <c r="K76" s="27">
        <f>+(K22/L22)-1</f>
        <v>0.2994913470533209</v>
      </c>
      <c r="L76" s="28">
        <f>+(L22/19316)-1</f>
        <v>0.7709670739283496</v>
      </c>
    </row>
    <row r="77" spans="1:12" ht="11.25">
      <c r="A77" s="20" t="s">
        <v>66</v>
      </c>
      <c r="C77" s="25">
        <f>(C25/G25)-1</f>
        <v>0.042469689536758004</v>
      </c>
      <c r="D77" s="25">
        <f>(D25/H25)-1</f>
        <v>0.08351409978308033</v>
      </c>
      <c r="E77" s="25">
        <f>(E25/I25)-1</f>
        <v>0.11457157902655535</v>
      </c>
      <c r="F77" s="26">
        <f>+(F25/J25)-1</f>
        <v>0.39678309698296377</v>
      </c>
      <c r="G77" s="27">
        <f>+(G25/K25)-1</f>
        <v>2.097915762049501</v>
      </c>
      <c r="H77" s="26">
        <f>+(H25/4038)-1</f>
        <v>2.424962852897474</v>
      </c>
      <c r="I77" s="26">
        <f>+(I25/3614)-1</f>
        <v>2.67819590481461</v>
      </c>
      <c r="J77" s="28">
        <f>+(J25/3137)-1</f>
        <v>2.3493783869939433</v>
      </c>
      <c r="K77" s="27">
        <f>+(K25/L25)-1</f>
        <v>0.5730874316939891</v>
      </c>
      <c r="L77" s="28">
        <f>+(L25/3022)-1</f>
        <v>-0.031105228325612133</v>
      </c>
    </row>
    <row r="78" spans="1:12" ht="11.25">
      <c r="A78" s="52" t="s">
        <v>67</v>
      </c>
      <c r="B78" s="2"/>
      <c r="C78" s="33">
        <f>(C40/G40)-1</f>
        <v>-0.7468723936613845</v>
      </c>
      <c r="D78" s="33">
        <f>(D40/H40)-1</f>
        <v>-0.634320735444331</v>
      </c>
      <c r="E78" s="33">
        <f>(E40/I40)-1</f>
        <v>-0.6150598170302604</v>
      </c>
      <c r="F78" s="33">
        <f>+(F40/J40)-1</f>
        <v>-0.360062893081761</v>
      </c>
      <c r="G78" s="34">
        <f>+(G40/K40)-1</f>
        <v>0.4940809968847353</v>
      </c>
      <c r="H78" s="33">
        <f>+(H40/1036)-1</f>
        <v>0.8899613899613901</v>
      </c>
      <c r="I78" s="33">
        <f>+(I40/612)-1</f>
        <v>1.3218954248366015</v>
      </c>
      <c r="J78" s="35">
        <f>+(J40/208)-1</f>
        <v>2.0576923076923075</v>
      </c>
      <c r="K78" s="34">
        <f>+(K40/L40)-1</f>
        <v>2.5274725274725274</v>
      </c>
      <c r="L78" s="35">
        <f>+(L40/736)-1</f>
        <v>-0.3817934782608695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11650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2002-07-11T18:11:38Z</cp:lastPrinted>
  <dcterms:created xsi:type="dcterms:W3CDTF">2002-03-19T18:18:34Z</dcterms:created>
  <dcterms:modified xsi:type="dcterms:W3CDTF">2002-03-21T18:31:57Z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