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6030" activeTab="0"/>
  </bookViews>
  <sheets>
    <sheet name="Dresdner (Int)" sheetId="1" r:id="rId1"/>
  </sheets>
  <definedNames/>
  <calcPr fullCalcOnLoad="1"/>
</workbook>
</file>

<file path=xl/sharedStrings.xml><?xml version="1.0" encoding="utf-8"?>
<sst xmlns="http://schemas.openxmlformats.org/spreadsheetml/2006/main" count="105" uniqueCount="70">
  <si>
    <t>CUADRO No. 19-20</t>
  </si>
  <si>
    <t>DRESDNER BANK LATEINAMERIKA AG</t>
  </si>
  <si>
    <t>ESTADISTICA FINANCIERA. AÑOS 1999, TRIMESTRES DE 2000 Y 2001</t>
  </si>
  <si>
    <t>(En miles de balboas)</t>
  </si>
  <si>
    <t>Años</t>
  </si>
  <si>
    <t>Diciembre</t>
  </si>
  <si>
    <t>Septiembre</t>
  </si>
  <si>
    <t>Junio</t>
  </si>
  <si>
    <t>Marzo</t>
  </si>
  <si>
    <t>1999</t>
  </si>
  <si>
    <t>1998</t>
  </si>
  <si>
    <t>Balance de Situación</t>
  </si>
  <si>
    <t>Total de Activos</t>
  </si>
  <si>
    <t>Activos Líquidos</t>
  </si>
  <si>
    <t>Total de Préstamos</t>
  </si>
  <si>
    <t>Internos</t>
  </si>
  <si>
    <t>Externos</t>
  </si>
  <si>
    <t>Total de Inversiones</t>
  </si>
  <si>
    <t>Total de Depósitos</t>
  </si>
  <si>
    <t xml:space="preserve">     Depósitos de Oficiales</t>
  </si>
  <si>
    <t xml:space="preserve">     Depósitos de Particulares</t>
  </si>
  <si>
    <t xml:space="preserve">     Depósitos de Bancos</t>
  </si>
  <si>
    <t>Patrimonio Total</t>
  </si>
  <si>
    <t>Promedio (12 meses)</t>
  </si>
  <si>
    <t>N.A.</t>
  </si>
  <si>
    <t>Activos Generadores de Ingresos</t>
  </si>
  <si>
    <t>Estado de Ganancias y Pérdidas</t>
  </si>
  <si>
    <t>Ingreso por Intereses</t>
  </si>
  <si>
    <t>Egreso de Operaciones</t>
  </si>
  <si>
    <t>Ingreso Neto de Intereses</t>
  </si>
  <si>
    <t>Otros Ingresos</t>
  </si>
  <si>
    <t>Ingreso de Operaciones</t>
  </si>
  <si>
    <t>Egresos Generales</t>
  </si>
  <si>
    <t>Utilidad antes de Provisiones</t>
  </si>
  <si>
    <t>Utilidad del Período</t>
  </si>
  <si>
    <t>Calidad de Activos</t>
  </si>
  <si>
    <t>Total de Préstamos Vencidos</t>
  </si>
  <si>
    <t>Total de Provisiones para Préstamos</t>
  </si>
  <si>
    <t>Préstamos Vencidos / Préstamos Totales</t>
  </si>
  <si>
    <t>Total de Provisiones / Préstamos Vencidos</t>
  </si>
  <si>
    <t>Provisiones Cuentas Malas / Préstamos Totales</t>
  </si>
  <si>
    <t>RAZONES DE CAPITAL</t>
  </si>
  <si>
    <t>Patrimonio /Préstamos Totales</t>
  </si>
  <si>
    <t>Patrimonio /Activos Generadores de Ingreso</t>
  </si>
  <si>
    <t>Liquidez</t>
  </si>
  <si>
    <t>Activo Líquido / Total de Depósitos</t>
  </si>
  <si>
    <t>Activo Líquido / Activo Total</t>
  </si>
  <si>
    <t>Activo Líquido + Inversiones / Depósitos Totales</t>
  </si>
  <si>
    <t>Rentabilidad</t>
  </si>
  <si>
    <t>Utilidad Neta / Activos Gen. de Ingresos (Promedio)</t>
  </si>
  <si>
    <t>N.A</t>
  </si>
  <si>
    <t>Utilidad Neta / Total de Activos (Promedio)</t>
  </si>
  <si>
    <t>Utilidad Neta / Patrimonio Total (Promedio)</t>
  </si>
  <si>
    <t>Ingresos por Intereses / Activos Gen. De Ingreso (Promedio)</t>
  </si>
  <si>
    <t>Egresos Operaciones / Activos Gen. De Ingreso (Promedio)</t>
  </si>
  <si>
    <t>Ingresos Netos por Intereses / Activos Gen. De Ingreso (Promedio)</t>
  </si>
  <si>
    <t>Egresos Generales / Ingresos de Operaciones</t>
  </si>
  <si>
    <t>Otros Ingresos / Activos Gen. De Ingreso (Promedio)</t>
  </si>
  <si>
    <t>Productividad</t>
  </si>
  <si>
    <t>Número de Empleados</t>
  </si>
  <si>
    <t>Sucursales</t>
  </si>
  <si>
    <t>Préstamos / Empleados (En miles de balboas)</t>
  </si>
  <si>
    <t>Depósitos Totales / Empleados (En miles de balboas)</t>
  </si>
  <si>
    <t>Utilidad Neta / Empleados (En miles de balboas)</t>
  </si>
  <si>
    <t>Tasas de Crecimiento (12 meses)</t>
  </si>
  <si>
    <t>Activos</t>
  </si>
  <si>
    <t>Préstamos</t>
  </si>
  <si>
    <t>Depósitos</t>
  </si>
  <si>
    <t>Capital</t>
  </si>
  <si>
    <t>Utilidad Neta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</si>
</sst>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B&quot;#,##0_);\(&quot;B&quot;#,##0\)"/>
    <numFmt numFmtId="165" formatCode="&quot;B&quot;#,##0_);[Red]\(&quot;B&quot;#,##0\)"/>
    <numFmt numFmtId="166" formatCode="&quot;B&quot;#,##0.00_);\(&quot;B&quot;#,##0.00\)"/>
    <numFmt numFmtId="167" formatCode="&quot;B&quot;#,##0.00_);[Red]\(&quot;B&quot;#,##0.00\)"/>
    <numFmt numFmtId="168" formatCode="_(&quot;B&quot;* #,##0_);_(&quot;B&quot;* \(#,##0\);_(&quot;B&quot;* &quot;-&quot;_);_(@_)"/>
    <numFmt numFmtId="169" formatCode="_(* #,##0_);_(* \(#,##0\);_(* &quot;-&quot;_);_(@_)"/>
    <numFmt numFmtId="170" formatCode="_(&quot;B&quot;* #,##0.00_);_(&quot;B&quot;* \(#,##0.00\);_(&quot;B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B/.&quot;\ #,##0;&quot;B/.&quot;\ \-#,##0"/>
    <numFmt numFmtId="179" formatCode="&quot;B/.&quot;\ #,##0;[Red]&quot;B/.&quot;\ \-#,##0"/>
    <numFmt numFmtId="180" formatCode="&quot;B/.&quot;\ #,##0.00;&quot;B/.&quot;\ \-#,##0.00"/>
    <numFmt numFmtId="181" formatCode="&quot;B/.&quot;\ #,##0.00;[Red]&quot;B/.&quot;\ \-#,##0.00"/>
    <numFmt numFmtId="182" formatCode="_ &quot;B/.&quot;\ * #,##0_ ;_ &quot;B/.&quot;\ * \-#,##0_ ;_ &quot;B/.&quot;\ * &quot;-&quot;_ ;_ @_ "/>
    <numFmt numFmtId="183" formatCode="_ * #,##0_ ;_ * \-#,##0_ ;_ * &quot;-&quot;_ ;_ @_ "/>
    <numFmt numFmtId="184" formatCode="_ &quot;B/.&quot;\ * #,##0.00_ ;_ &quot;B/.&quot;\ * \-#,##0.00_ ;_ &quot;B/.&quot;\ * &quot;-&quot;??_ ;_ @_ "/>
    <numFmt numFmtId="185" formatCode="_ * #,##0.00_ ;_ * \-#,##0.00_ ;_ * &quot;-&quot;??_ ;_ @_ "/>
    <numFmt numFmtId="186" formatCode="_(* #,##0.0_);_(* \(#,##0.0\);_(* &quot;-&quot;??_);_(@_)"/>
    <numFmt numFmtId="187" formatCode="_(* #,##0_);_(* \(#,##0\);_(* &quot;-&quot;??_);_(@_)"/>
    <numFmt numFmtId="188" formatCode="_(* #,##0.000_);_(* \(#,##0.000\);_(* &quot;-&quot;??_);_(@_)"/>
    <numFmt numFmtId="189" formatCode="0.0"/>
    <numFmt numFmtId="190" formatCode="0.0%"/>
    <numFmt numFmtId="191" formatCode="0.00000000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_(* #,##0.0000_);_(* \(#,##0.0000\);_(* &quot;-&quot;??_);_(@_)"/>
    <numFmt numFmtId="198" formatCode="0.000%"/>
    <numFmt numFmtId="199" formatCode="0_ ;\-0\ "/>
    <numFmt numFmtId="200" formatCode="_(* #,##0.00000_);_(* \(#,##0.00000\);_(* &quot;-&quot;??_);_(@_)"/>
  </numFmts>
  <fonts count="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1" fillId="0" borderId="0" xfId="0" applyFont="1" applyAlignment="1">
      <alignment/>
    </xf>
    <xf numFmtId="187" fontId="1" fillId="0" borderId="3" xfId="15" applyNumberFormat="1" applyFont="1" applyBorder="1" applyAlignment="1">
      <alignment/>
    </xf>
    <xf numFmtId="187" fontId="1" fillId="0" borderId="0" xfId="15" applyNumberFormat="1" applyFont="1" applyBorder="1" applyAlignment="1">
      <alignment/>
    </xf>
    <xf numFmtId="187" fontId="1" fillId="0" borderId="4" xfId="15" applyNumberFormat="1" applyFont="1" applyBorder="1" applyAlignment="1">
      <alignment/>
    </xf>
    <xf numFmtId="187" fontId="1" fillId="0" borderId="0" xfId="15" applyNumberFormat="1" applyFont="1" applyAlignment="1">
      <alignment/>
    </xf>
    <xf numFmtId="187" fontId="2" fillId="0" borderId="0" xfId="15" applyNumberFormat="1" applyFont="1" applyAlignment="1">
      <alignment/>
    </xf>
    <xf numFmtId="3" fontId="2" fillId="0" borderId="0" xfId="0" applyNumberFormat="1" applyFont="1" applyAlignment="1">
      <alignment/>
    </xf>
    <xf numFmtId="187" fontId="2" fillId="0" borderId="3" xfId="15" applyNumberFormat="1" applyFont="1" applyBorder="1" applyAlignment="1">
      <alignment/>
    </xf>
    <xf numFmtId="187" fontId="2" fillId="0" borderId="0" xfId="15" applyNumberFormat="1" applyFont="1" applyBorder="1" applyAlignment="1">
      <alignment/>
    </xf>
    <xf numFmtId="187" fontId="2" fillId="0" borderId="4" xfId="15" applyNumberFormat="1" applyFont="1" applyBorder="1" applyAlignment="1">
      <alignment/>
    </xf>
    <xf numFmtId="171" fontId="2" fillId="0" borderId="0" xfId="15" applyFont="1" applyAlignment="1">
      <alignment/>
    </xf>
    <xf numFmtId="0" fontId="2" fillId="0" borderId="1" xfId="0" applyFont="1" applyFill="1" applyBorder="1" applyAlignment="1">
      <alignment/>
    </xf>
    <xf numFmtId="187" fontId="2" fillId="0" borderId="1" xfId="15" applyNumberFormat="1" applyFont="1" applyFill="1" applyBorder="1" applyAlignment="1">
      <alignment/>
    </xf>
    <xf numFmtId="187" fontId="2" fillId="0" borderId="1" xfId="15" applyNumberFormat="1" applyFont="1" applyBorder="1" applyAlignment="1">
      <alignment/>
    </xf>
    <xf numFmtId="187" fontId="2" fillId="0" borderId="5" xfId="15" applyNumberFormat="1" applyFont="1" applyBorder="1" applyAlignment="1">
      <alignment/>
    </xf>
    <xf numFmtId="187" fontId="2" fillId="0" borderId="6" xfId="15" applyNumberFormat="1" applyFont="1" applyBorder="1" applyAlignment="1">
      <alignment/>
    </xf>
    <xf numFmtId="187" fontId="2" fillId="0" borderId="0" xfId="15" applyNumberFormat="1" applyFont="1" applyAlignment="1">
      <alignment horizontal="right"/>
    </xf>
    <xf numFmtId="187" fontId="2" fillId="0" borderId="1" xfId="15" applyNumberFormat="1" applyFont="1" applyBorder="1" applyAlignment="1">
      <alignment horizontal="right"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4" xfId="0" applyFont="1" applyBorder="1" applyAlignment="1">
      <alignment/>
    </xf>
    <xf numFmtId="187" fontId="2" fillId="0" borderId="1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10" fontId="2" fillId="0" borderId="0" xfId="19" applyNumberFormat="1" applyFont="1" applyAlignment="1">
      <alignment/>
    </xf>
    <xf numFmtId="10" fontId="2" fillId="0" borderId="0" xfId="19" applyNumberFormat="1" applyFont="1" applyBorder="1" applyAlignment="1">
      <alignment/>
    </xf>
    <xf numFmtId="10" fontId="2" fillId="0" borderId="3" xfId="19" applyNumberFormat="1" applyFont="1" applyBorder="1" applyAlignment="1">
      <alignment/>
    </xf>
    <xf numFmtId="10" fontId="2" fillId="0" borderId="4" xfId="19" applyNumberFormat="1" applyFont="1" applyBorder="1" applyAlignment="1">
      <alignment/>
    </xf>
    <xf numFmtId="10" fontId="2" fillId="0" borderId="1" xfId="19" applyNumberFormat="1" applyFont="1" applyBorder="1" applyAlignment="1">
      <alignment/>
    </xf>
    <xf numFmtId="10" fontId="2" fillId="0" borderId="5" xfId="19" applyNumberFormat="1" applyFont="1" applyBorder="1" applyAlignment="1">
      <alignment/>
    </xf>
    <xf numFmtId="10" fontId="2" fillId="0" borderId="6" xfId="19" applyNumberFormat="1" applyFont="1" applyBorder="1" applyAlignment="1">
      <alignment/>
    </xf>
    <xf numFmtId="190" fontId="2" fillId="0" borderId="0" xfId="19" applyNumberFormat="1" applyFont="1" applyAlignment="1">
      <alignment/>
    </xf>
    <xf numFmtId="190" fontId="2" fillId="0" borderId="1" xfId="19" applyNumberFormat="1" applyFont="1" applyBorder="1" applyAlignment="1">
      <alignment/>
    </xf>
    <xf numFmtId="10" fontId="2" fillId="0" borderId="0" xfId="19" applyNumberFormat="1" applyFont="1" applyFill="1" applyBorder="1" applyAlignment="1">
      <alignment/>
    </xf>
    <xf numFmtId="10" fontId="2" fillId="0" borderId="3" xfId="19" applyNumberFormat="1" applyFont="1" applyFill="1" applyBorder="1" applyAlignment="1">
      <alignment/>
    </xf>
    <xf numFmtId="10" fontId="2" fillId="0" borderId="0" xfId="19" applyNumberFormat="1" applyFont="1" applyBorder="1" applyAlignment="1">
      <alignment horizontal="right"/>
    </xf>
    <xf numFmtId="10" fontId="2" fillId="0" borderId="1" xfId="19" applyNumberFormat="1" applyFont="1" applyFill="1" applyBorder="1" applyAlignment="1">
      <alignment/>
    </xf>
    <xf numFmtId="10" fontId="2" fillId="0" borderId="5" xfId="19" applyNumberFormat="1" applyFont="1" applyFill="1" applyBorder="1" applyAlignment="1">
      <alignment/>
    </xf>
    <xf numFmtId="10" fontId="2" fillId="0" borderId="1" xfId="19" applyNumberFormat="1" applyFont="1" applyBorder="1" applyAlignment="1">
      <alignment horizontal="right"/>
    </xf>
    <xf numFmtId="187" fontId="2" fillId="0" borderId="0" xfId="15" applyNumberFormat="1" applyFont="1" applyBorder="1" applyAlignment="1">
      <alignment horizontal="center"/>
    </xf>
    <xf numFmtId="187" fontId="2" fillId="0" borderId="3" xfId="15" applyNumberFormat="1" applyFont="1" applyBorder="1" applyAlignment="1">
      <alignment horizontal="center"/>
    </xf>
    <xf numFmtId="187" fontId="2" fillId="0" borderId="4" xfId="15" applyNumberFormat="1" applyFont="1" applyBorder="1" applyAlignment="1">
      <alignment horizontal="center"/>
    </xf>
    <xf numFmtId="187" fontId="2" fillId="0" borderId="1" xfId="15" applyNumberFormat="1" applyFont="1" applyBorder="1" applyAlignment="1">
      <alignment horizontal="center"/>
    </xf>
    <xf numFmtId="187" fontId="2" fillId="0" borderId="5" xfId="15" applyNumberFormat="1" applyFont="1" applyBorder="1" applyAlignment="1">
      <alignment horizontal="center"/>
    </xf>
    <xf numFmtId="187" fontId="2" fillId="0" borderId="6" xfId="15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78"/>
  <sheetViews>
    <sheetView tabSelected="1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16" sqref="B16"/>
    </sheetView>
  </sheetViews>
  <sheetFormatPr defaultColWidth="11.421875" defaultRowHeight="12.75"/>
  <cols>
    <col min="1" max="1" width="3.57421875" style="1" customWidth="1"/>
    <col min="2" max="2" width="40.421875" style="1" customWidth="1"/>
    <col min="3" max="3" width="9.00390625" style="1" bestFit="1" customWidth="1"/>
    <col min="4" max="4" width="9.7109375" style="1" customWidth="1"/>
    <col min="5" max="7" width="9.00390625" style="1" bestFit="1" customWidth="1"/>
    <col min="8" max="8" width="9.7109375" style="1" customWidth="1"/>
    <col min="9" max="11" width="9.00390625" style="1" bestFit="1" customWidth="1"/>
    <col min="12" max="12" width="7.421875" style="1" hidden="1" customWidth="1"/>
    <col min="13" max="16384" width="11.421875" style="1" customWidth="1"/>
  </cols>
  <sheetData>
    <row r="1" ht="11.25"/>
    <row r="2" spans="2:12" ht="11.25">
      <c r="B2" s="53"/>
      <c r="C2" s="53"/>
      <c r="D2" s="53"/>
      <c r="E2" s="53"/>
      <c r="F2" s="53" t="s">
        <v>0</v>
      </c>
      <c r="H2" s="53"/>
      <c r="I2" s="53"/>
      <c r="J2" s="53"/>
      <c r="K2" s="53"/>
      <c r="L2" s="53"/>
    </row>
    <row r="3" spans="2:12" ht="11.25">
      <c r="B3" s="53"/>
      <c r="C3" s="53"/>
      <c r="D3" s="53"/>
      <c r="E3" s="53"/>
      <c r="F3" s="53" t="s">
        <v>1</v>
      </c>
      <c r="H3" s="53"/>
      <c r="I3" s="53"/>
      <c r="J3" s="53"/>
      <c r="K3" s="53"/>
      <c r="L3" s="53"/>
    </row>
    <row r="4" spans="2:12" ht="11.25">
      <c r="B4" s="53"/>
      <c r="C4" s="53"/>
      <c r="D4" s="53"/>
      <c r="E4" s="53"/>
      <c r="F4" s="53" t="s">
        <v>2</v>
      </c>
      <c r="H4" s="53"/>
      <c r="I4" s="53"/>
      <c r="J4" s="53"/>
      <c r="K4" s="53"/>
      <c r="L4" s="53"/>
    </row>
    <row r="5" spans="2:12" ht="11.25">
      <c r="B5" s="52"/>
      <c r="C5" s="52"/>
      <c r="D5" s="52"/>
      <c r="E5" s="52"/>
      <c r="F5" s="52" t="s">
        <v>3</v>
      </c>
      <c r="H5" s="52"/>
      <c r="I5" s="52"/>
      <c r="J5" s="52"/>
      <c r="K5" s="52"/>
      <c r="L5" s="52"/>
    </row>
    <row r="6" spans="1:12" ht="11.25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</row>
    <row r="7" spans="1:12" ht="11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1.25">
      <c r="A8" s="3"/>
      <c r="B8" s="3"/>
      <c r="C8" s="60">
        <v>2001</v>
      </c>
      <c r="D8" s="60"/>
      <c r="E8" s="60"/>
      <c r="F8" s="61"/>
      <c r="G8" s="59">
        <v>2000</v>
      </c>
      <c r="H8" s="60"/>
      <c r="I8" s="60"/>
      <c r="J8" s="61"/>
      <c r="K8" s="60" t="s">
        <v>4</v>
      </c>
      <c r="L8" s="60"/>
    </row>
    <row r="9" spans="1:12" s="4" customFormat="1" ht="11.25">
      <c r="A9" s="54"/>
      <c r="B9" s="54"/>
      <c r="C9" s="55" t="s">
        <v>5</v>
      </c>
      <c r="D9" s="55" t="s">
        <v>6</v>
      </c>
      <c r="E9" s="54" t="s">
        <v>7</v>
      </c>
      <c r="F9" s="54" t="s">
        <v>8</v>
      </c>
      <c r="G9" s="56" t="s">
        <v>5</v>
      </c>
      <c r="H9" s="55" t="s">
        <v>6</v>
      </c>
      <c r="I9" s="55" t="s">
        <v>7</v>
      </c>
      <c r="J9" s="57" t="s">
        <v>8</v>
      </c>
      <c r="K9" s="58" t="s">
        <v>9</v>
      </c>
      <c r="L9" s="58" t="s">
        <v>10</v>
      </c>
    </row>
    <row r="10" spans="1:12" ht="11.25">
      <c r="A10" s="4" t="s">
        <v>11</v>
      </c>
      <c r="B10" s="4"/>
      <c r="C10" s="4"/>
      <c r="D10" s="4"/>
      <c r="E10" s="4"/>
      <c r="F10" s="4"/>
      <c r="G10" s="5"/>
      <c r="H10" s="6"/>
      <c r="I10" s="6"/>
      <c r="J10" s="7"/>
      <c r="K10" s="8"/>
      <c r="L10" s="8"/>
    </row>
    <row r="11" spans="1:12" ht="11.25">
      <c r="A11" s="1" t="s">
        <v>12</v>
      </c>
      <c r="C11" s="9">
        <v>1447302</v>
      </c>
      <c r="D11" s="9">
        <v>1703825</v>
      </c>
      <c r="E11" s="9">
        <v>1852786</v>
      </c>
      <c r="F11" s="10">
        <v>1920744</v>
      </c>
      <c r="G11" s="11">
        <v>1915642</v>
      </c>
      <c r="H11" s="12">
        <v>2204008</v>
      </c>
      <c r="I11" s="12">
        <v>1848763</v>
      </c>
      <c r="J11" s="13">
        <v>2233940</v>
      </c>
      <c r="K11" s="9">
        <v>1965977</v>
      </c>
      <c r="L11" s="9">
        <v>1663632</v>
      </c>
    </row>
    <row r="12" spans="1:12" ht="11.25">
      <c r="A12" s="1" t="s">
        <v>13</v>
      </c>
      <c r="C12" s="9">
        <v>801764</v>
      </c>
      <c r="D12" s="9">
        <v>984101</v>
      </c>
      <c r="E12" s="9">
        <v>1232863</v>
      </c>
      <c r="F12" s="10">
        <v>1236239</v>
      </c>
      <c r="G12" s="11">
        <v>1179043</v>
      </c>
      <c r="H12" s="12">
        <v>1381240</v>
      </c>
      <c r="I12" s="12">
        <v>945018</v>
      </c>
      <c r="J12" s="13">
        <v>1313920</v>
      </c>
      <c r="K12" s="9">
        <v>977193</v>
      </c>
      <c r="L12" s="9">
        <v>317706</v>
      </c>
    </row>
    <row r="13" spans="1:12" ht="11.25">
      <c r="A13" s="1" t="s">
        <v>14</v>
      </c>
      <c r="C13" s="9">
        <f aca="true" t="shared" si="0" ref="C13:K13">C14+C15</f>
        <v>339771</v>
      </c>
      <c r="D13" s="9">
        <f t="shared" si="0"/>
        <v>353158</v>
      </c>
      <c r="E13" s="9">
        <f t="shared" si="0"/>
        <v>351850</v>
      </c>
      <c r="F13" s="9">
        <f t="shared" si="0"/>
        <v>385750</v>
      </c>
      <c r="G13" s="11">
        <f t="shared" si="0"/>
        <v>402825</v>
      </c>
      <c r="H13" s="12">
        <f t="shared" si="0"/>
        <v>480209</v>
      </c>
      <c r="I13" s="12">
        <f t="shared" si="0"/>
        <v>484594</v>
      </c>
      <c r="J13" s="13">
        <f t="shared" si="0"/>
        <v>498246</v>
      </c>
      <c r="K13" s="9">
        <f t="shared" si="0"/>
        <v>538149</v>
      </c>
      <c r="L13" s="9">
        <f>L14+L15</f>
        <v>912608</v>
      </c>
    </row>
    <row r="14" spans="2:12" ht="11.25">
      <c r="B14" s="1" t="s">
        <v>15</v>
      </c>
      <c r="C14" s="14">
        <v>0</v>
      </c>
      <c r="D14" s="14">
        <v>0</v>
      </c>
      <c r="E14" s="9">
        <v>0</v>
      </c>
      <c r="F14" s="9">
        <v>0</v>
      </c>
      <c r="G14" s="11">
        <v>0</v>
      </c>
      <c r="H14" s="12">
        <v>0</v>
      </c>
      <c r="I14" s="12">
        <v>0</v>
      </c>
      <c r="J14" s="13">
        <v>0</v>
      </c>
      <c r="K14" s="9">
        <v>0</v>
      </c>
      <c r="L14" s="9">
        <v>0</v>
      </c>
    </row>
    <row r="15" spans="2:12" ht="11.25">
      <c r="B15" s="1" t="s">
        <v>16</v>
      </c>
      <c r="C15" s="9">
        <v>339771</v>
      </c>
      <c r="D15" s="9">
        <v>353158</v>
      </c>
      <c r="E15" s="9">
        <v>351850</v>
      </c>
      <c r="F15" s="10">
        <v>385750</v>
      </c>
      <c r="G15" s="11">
        <v>402825</v>
      </c>
      <c r="H15" s="12">
        <v>480209</v>
      </c>
      <c r="I15" s="12">
        <v>484594</v>
      </c>
      <c r="J15" s="13">
        <v>498246</v>
      </c>
      <c r="K15" s="9">
        <v>538149</v>
      </c>
      <c r="L15" s="9">
        <v>912608</v>
      </c>
    </row>
    <row r="16" spans="1:12" ht="11.25">
      <c r="A16" s="1" t="s">
        <v>17</v>
      </c>
      <c r="C16" s="9">
        <v>293939</v>
      </c>
      <c r="D16" s="9">
        <v>350035</v>
      </c>
      <c r="E16" s="9">
        <v>251253</v>
      </c>
      <c r="F16" s="10">
        <v>279849</v>
      </c>
      <c r="G16" s="11">
        <v>311473</v>
      </c>
      <c r="H16" s="12">
        <v>325043</v>
      </c>
      <c r="I16" s="12">
        <v>407134</v>
      </c>
      <c r="J16" s="13">
        <v>407010</v>
      </c>
      <c r="K16" s="9">
        <v>432586</v>
      </c>
      <c r="L16" s="9">
        <v>418002</v>
      </c>
    </row>
    <row r="17" spans="1:12" ht="11.25">
      <c r="A17" s="1" t="s">
        <v>18</v>
      </c>
      <c r="C17" s="9">
        <f aca="true" t="shared" si="1" ref="C17:K17">C18+C22</f>
        <v>1276407</v>
      </c>
      <c r="D17" s="9">
        <f t="shared" si="1"/>
        <v>1567272</v>
      </c>
      <c r="E17" s="9">
        <f t="shared" si="1"/>
        <v>1645996</v>
      </c>
      <c r="F17" s="9">
        <f t="shared" si="1"/>
        <v>1767868</v>
      </c>
      <c r="G17" s="11">
        <f t="shared" si="1"/>
        <v>1618862</v>
      </c>
      <c r="H17" s="12">
        <f t="shared" si="1"/>
        <v>2062190</v>
      </c>
      <c r="I17" s="12">
        <f t="shared" si="1"/>
        <v>1693448</v>
      </c>
      <c r="J17" s="13">
        <f t="shared" si="1"/>
        <v>2111532</v>
      </c>
      <c r="K17" s="9">
        <f t="shared" si="1"/>
        <v>1860475</v>
      </c>
      <c r="L17" s="9">
        <f>L18+L22</f>
        <v>1520538</v>
      </c>
    </row>
    <row r="18" spans="2:12" ht="11.25">
      <c r="B18" s="1" t="s">
        <v>15</v>
      </c>
      <c r="C18" s="9">
        <f aca="true" t="shared" si="2" ref="C18:K18">SUM(C19:C21)</f>
        <v>0</v>
      </c>
      <c r="D18" s="9">
        <f t="shared" si="2"/>
        <v>0</v>
      </c>
      <c r="E18" s="9">
        <f t="shared" si="2"/>
        <v>0</v>
      </c>
      <c r="F18" s="9">
        <f t="shared" si="2"/>
        <v>0</v>
      </c>
      <c r="G18" s="11">
        <f t="shared" si="2"/>
        <v>0</v>
      </c>
      <c r="H18" s="12">
        <f t="shared" si="2"/>
        <v>0</v>
      </c>
      <c r="I18" s="12">
        <f t="shared" si="2"/>
        <v>0</v>
      </c>
      <c r="J18" s="13">
        <f t="shared" si="2"/>
        <v>0</v>
      </c>
      <c r="K18" s="9">
        <f t="shared" si="2"/>
        <v>0</v>
      </c>
      <c r="L18" s="9">
        <f>SUM(L19:L21)</f>
        <v>0</v>
      </c>
    </row>
    <row r="19" spans="2:12" ht="11.25">
      <c r="B19" s="1" t="s">
        <v>19</v>
      </c>
      <c r="C19" s="14">
        <v>0</v>
      </c>
      <c r="D19" s="14">
        <v>0</v>
      </c>
      <c r="E19" s="9">
        <v>0</v>
      </c>
      <c r="G19" s="11">
        <v>0</v>
      </c>
      <c r="H19" s="12">
        <v>0</v>
      </c>
      <c r="I19" s="12">
        <v>0</v>
      </c>
      <c r="J19" s="13">
        <v>0</v>
      </c>
      <c r="K19" s="9">
        <v>0</v>
      </c>
      <c r="L19" s="9">
        <v>0</v>
      </c>
    </row>
    <row r="20" spans="2:12" ht="11.25">
      <c r="B20" s="1" t="s">
        <v>20</v>
      </c>
      <c r="C20" s="14">
        <v>0</v>
      </c>
      <c r="D20" s="14">
        <v>0</v>
      </c>
      <c r="E20" s="9">
        <v>0</v>
      </c>
      <c r="F20" s="9">
        <v>0</v>
      </c>
      <c r="G20" s="11">
        <v>0</v>
      </c>
      <c r="H20" s="12">
        <v>0</v>
      </c>
      <c r="I20" s="12">
        <v>0</v>
      </c>
      <c r="J20" s="13">
        <v>0</v>
      </c>
      <c r="K20" s="9">
        <v>0</v>
      </c>
      <c r="L20" s="9">
        <v>0</v>
      </c>
    </row>
    <row r="21" spans="2:12" ht="11.25">
      <c r="B21" s="1" t="s">
        <v>21</v>
      </c>
      <c r="C21" s="14">
        <v>0</v>
      </c>
      <c r="D21" s="14">
        <v>0</v>
      </c>
      <c r="E21" s="9">
        <v>0</v>
      </c>
      <c r="F21" s="9">
        <v>0</v>
      </c>
      <c r="G21" s="11">
        <v>0</v>
      </c>
      <c r="H21" s="12">
        <v>0</v>
      </c>
      <c r="I21" s="12">
        <v>0</v>
      </c>
      <c r="J21" s="13">
        <v>0</v>
      </c>
      <c r="K21" s="9">
        <v>0</v>
      </c>
      <c r="L21" s="9">
        <v>0</v>
      </c>
    </row>
    <row r="22" spans="2:12" ht="11.25">
      <c r="B22" s="1" t="s">
        <v>16</v>
      </c>
      <c r="C22" s="9">
        <f aca="true" t="shared" si="3" ref="C22:K22">SUM(C23:C24)</f>
        <v>1276407</v>
      </c>
      <c r="D22" s="9">
        <f t="shared" si="3"/>
        <v>1567272</v>
      </c>
      <c r="E22" s="9">
        <f t="shared" si="3"/>
        <v>1645996</v>
      </c>
      <c r="F22" s="9">
        <f t="shared" si="3"/>
        <v>1767868</v>
      </c>
      <c r="G22" s="11">
        <f t="shared" si="3"/>
        <v>1618862</v>
      </c>
      <c r="H22" s="12">
        <f t="shared" si="3"/>
        <v>2062190</v>
      </c>
      <c r="I22" s="12">
        <f t="shared" si="3"/>
        <v>1693448</v>
      </c>
      <c r="J22" s="13">
        <f t="shared" si="3"/>
        <v>2111532</v>
      </c>
      <c r="K22" s="9">
        <f t="shared" si="3"/>
        <v>1860475</v>
      </c>
      <c r="L22" s="9">
        <f>SUM(L23:L24)</f>
        <v>1520538</v>
      </c>
    </row>
    <row r="23" spans="2:12" ht="11.25">
      <c r="B23" s="1" t="s">
        <v>20</v>
      </c>
      <c r="C23" s="9">
        <f>225880+369006</f>
        <v>594886</v>
      </c>
      <c r="D23" s="9">
        <f>195044+402293</f>
        <v>597337</v>
      </c>
      <c r="E23" s="9">
        <v>637014</v>
      </c>
      <c r="F23" s="10">
        <v>682941</v>
      </c>
      <c r="G23" s="11">
        <f>540658+34356</f>
        <v>575014</v>
      </c>
      <c r="H23" s="12">
        <v>885865</v>
      </c>
      <c r="I23" s="12">
        <v>794806</v>
      </c>
      <c r="J23" s="13">
        <v>929690</v>
      </c>
      <c r="K23" s="9">
        <v>713534</v>
      </c>
      <c r="L23" s="9">
        <v>630302</v>
      </c>
    </row>
    <row r="24" spans="2:12" ht="11.25">
      <c r="B24" s="1" t="s">
        <v>21</v>
      </c>
      <c r="C24" s="9">
        <f>19740+661781</f>
        <v>681521</v>
      </c>
      <c r="D24" s="9">
        <f>900072+45655+24208</f>
        <v>969935</v>
      </c>
      <c r="E24" s="9">
        <v>1008982</v>
      </c>
      <c r="F24" s="10">
        <v>1084927</v>
      </c>
      <c r="G24" s="11">
        <f>14699+1029149</f>
        <v>1043848</v>
      </c>
      <c r="H24" s="12">
        <v>1176325</v>
      </c>
      <c r="I24" s="12">
        <v>898642</v>
      </c>
      <c r="J24" s="13">
        <v>1181842</v>
      </c>
      <c r="K24" s="9">
        <v>1146941</v>
      </c>
      <c r="L24" s="9">
        <v>890236</v>
      </c>
    </row>
    <row r="25" spans="1:12" ht="11.25">
      <c r="A25" s="15" t="s">
        <v>22</v>
      </c>
      <c r="B25" s="15"/>
      <c r="C25" s="16">
        <v>3000</v>
      </c>
      <c r="D25" s="17">
        <v>20461</v>
      </c>
      <c r="E25" s="17">
        <v>17639</v>
      </c>
      <c r="F25" s="2">
        <v>-4249</v>
      </c>
      <c r="G25" s="18">
        <v>33784</v>
      </c>
      <c r="H25" s="17">
        <v>14846</v>
      </c>
      <c r="I25" s="17">
        <v>14300</v>
      </c>
      <c r="J25" s="19">
        <v>8756</v>
      </c>
      <c r="K25" s="17">
        <v>20919</v>
      </c>
      <c r="L25" s="17">
        <v>15587</v>
      </c>
    </row>
    <row r="26" spans="1:12" ht="11.25">
      <c r="A26" s="4" t="s">
        <v>23</v>
      </c>
      <c r="G26" s="11"/>
      <c r="H26" s="12"/>
      <c r="I26" s="12"/>
      <c r="J26" s="13"/>
      <c r="K26" s="9"/>
      <c r="L26" s="9"/>
    </row>
    <row r="27" spans="1:12" ht="11.25">
      <c r="A27" s="1" t="s">
        <v>12</v>
      </c>
      <c r="C27" s="9">
        <f>(C11+G11)/2</f>
        <v>1681472</v>
      </c>
      <c r="D27" s="9">
        <f>(D11+H11)/2</f>
        <v>1953916.5</v>
      </c>
      <c r="E27" s="9">
        <f>(E11+I11)/2</f>
        <v>1850774.5</v>
      </c>
      <c r="F27" s="9">
        <f>+(F11+J11)/2</f>
        <v>2077342</v>
      </c>
      <c r="G27" s="11">
        <f>+(G11+K11)/2</f>
        <v>1940809.5</v>
      </c>
      <c r="H27" s="12">
        <f>+(1917897+H11)/2</f>
        <v>2060952.5</v>
      </c>
      <c r="I27" s="12">
        <f>+(1731500+I11)/2</f>
        <v>1790131.5</v>
      </c>
      <c r="J27" s="13">
        <f>+(1648539+J11)/2</f>
        <v>1941239.5</v>
      </c>
      <c r="K27" s="9">
        <f>(K11+L11)/2</f>
        <v>1814804.5</v>
      </c>
      <c r="L27" s="20" t="s">
        <v>24</v>
      </c>
    </row>
    <row r="28" spans="1:12" ht="11.25">
      <c r="A28" s="1" t="s">
        <v>25</v>
      </c>
      <c r="C28" s="9">
        <f aca="true" t="shared" si="4" ref="C28:K28">C29+C30</f>
        <v>674004</v>
      </c>
      <c r="D28" s="9">
        <f t="shared" si="4"/>
        <v>754222.5</v>
      </c>
      <c r="E28" s="9">
        <f t="shared" si="4"/>
        <v>747415.5</v>
      </c>
      <c r="F28" s="9">
        <f t="shared" si="4"/>
        <v>785427.5</v>
      </c>
      <c r="G28" s="11">
        <f t="shared" si="4"/>
        <v>842516.5</v>
      </c>
      <c r="H28" s="12">
        <f t="shared" si="4"/>
        <v>913247.5</v>
      </c>
      <c r="I28" s="12">
        <f t="shared" si="4"/>
        <v>1055469.5</v>
      </c>
      <c r="J28" s="13">
        <f t="shared" si="4"/>
        <v>1064960.5</v>
      </c>
      <c r="K28" s="9">
        <f t="shared" si="4"/>
        <v>1150672.5</v>
      </c>
      <c r="L28" s="20" t="s">
        <v>24</v>
      </c>
    </row>
    <row r="29" spans="2:12" ht="11.25">
      <c r="B29" s="1" t="s">
        <v>14</v>
      </c>
      <c r="C29" s="9">
        <f>(C13+G13)/2</f>
        <v>371298</v>
      </c>
      <c r="D29" s="9">
        <f>(D13+H13)/2</f>
        <v>416683.5</v>
      </c>
      <c r="E29" s="9">
        <f>(E13+I13)/2</f>
        <v>418222</v>
      </c>
      <c r="F29" s="9">
        <f>+(F13+J13)/2</f>
        <v>441998</v>
      </c>
      <c r="G29" s="11">
        <f>+(G13+K13)/2</f>
        <v>470487</v>
      </c>
      <c r="H29" s="12">
        <f>+(541417+H13)/2</f>
        <v>510813</v>
      </c>
      <c r="I29" s="12">
        <f>+(749087+I13)/2</f>
        <v>616840.5</v>
      </c>
      <c r="J29" s="13">
        <f>+(842985+J13)/2</f>
        <v>670615.5</v>
      </c>
      <c r="K29" s="9">
        <f>(K13+L13)/2</f>
        <v>725378.5</v>
      </c>
      <c r="L29" s="20" t="s">
        <v>24</v>
      </c>
    </row>
    <row r="30" spans="2:12" ht="11.25">
      <c r="B30" s="1" t="s">
        <v>17</v>
      </c>
      <c r="C30" s="9">
        <f>(C16+G16)/2</f>
        <v>302706</v>
      </c>
      <c r="D30" s="9">
        <f>(D16+H16)/2</f>
        <v>337539</v>
      </c>
      <c r="E30" s="9">
        <f>(E16+I16)/2</f>
        <v>329193.5</v>
      </c>
      <c r="F30" s="9">
        <f>+(F16+J16)/2</f>
        <v>343429.5</v>
      </c>
      <c r="G30" s="11">
        <f>+(G16+K16)/2</f>
        <v>372029.5</v>
      </c>
      <c r="H30" s="12">
        <f>+(479826+H16)/2</f>
        <v>402434.5</v>
      </c>
      <c r="I30" s="12">
        <f>+(470124+I16)/2</f>
        <v>438629</v>
      </c>
      <c r="J30" s="13">
        <f>+(381680+J16)/2</f>
        <v>394345</v>
      </c>
      <c r="K30" s="9">
        <f>(K16+L16)/2</f>
        <v>425294</v>
      </c>
      <c r="L30" s="20" t="s">
        <v>24</v>
      </c>
    </row>
    <row r="31" spans="1:12" ht="11.25">
      <c r="A31" s="2" t="s">
        <v>22</v>
      </c>
      <c r="B31" s="2"/>
      <c r="C31" s="17">
        <f>(C25+G25)/2</f>
        <v>18392</v>
      </c>
      <c r="D31" s="17">
        <f>(D25+H25)/2</f>
        <v>17653.5</v>
      </c>
      <c r="E31" s="17">
        <f>(E25+I25)/2</f>
        <v>15969.5</v>
      </c>
      <c r="F31" s="17">
        <f>+(F25+J25)/2</f>
        <v>2253.5</v>
      </c>
      <c r="G31" s="18">
        <f>+(G25+K25)/2</f>
        <v>27351.5</v>
      </c>
      <c r="H31" s="17">
        <f>+(22591+H25)/2</f>
        <v>18718.5</v>
      </c>
      <c r="I31" s="17">
        <f>+(9294+I25)/2</f>
        <v>11797</v>
      </c>
      <c r="J31" s="19">
        <f>+(6583+J25)/2</f>
        <v>7669.5</v>
      </c>
      <c r="K31" s="17">
        <f>(K25+L25)/2</f>
        <v>18253</v>
      </c>
      <c r="L31" s="21" t="s">
        <v>24</v>
      </c>
    </row>
    <row r="32" spans="1:10" ht="11.25">
      <c r="A32" s="4" t="s">
        <v>26</v>
      </c>
      <c r="G32" s="22"/>
      <c r="H32" s="23"/>
      <c r="I32" s="23"/>
      <c r="J32" s="24"/>
    </row>
    <row r="33" spans="1:12" ht="11.25">
      <c r="A33" s="1" t="s">
        <v>27</v>
      </c>
      <c r="C33" s="9">
        <v>89149</v>
      </c>
      <c r="D33" s="9">
        <v>74783</v>
      </c>
      <c r="E33" s="9">
        <v>55397</v>
      </c>
      <c r="F33" s="9">
        <v>26340</v>
      </c>
      <c r="G33" s="11">
        <v>118562</v>
      </c>
      <c r="H33" s="12">
        <v>83871</v>
      </c>
      <c r="I33" s="12">
        <v>55365</v>
      </c>
      <c r="J33" s="13">
        <v>27349</v>
      </c>
      <c r="K33" s="9">
        <v>84145</v>
      </c>
      <c r="L33" s="9">
        <v>96003</v>
      </c>
    </row>
    <row r="34" spans="1:12" ht="11.25">
      <c r="A34" s="1" t="s">
        <v>28</v>
      </c>
      <c r="C34" s="9">
        <v>72048</v>
      </c>
      <c r="D34" s="9">
        <v>60215</v>
      </c>
      <c r="E34" s="9">
        <v>44548</v>
      </c>
      <c r="F34" s="9">
        <v>23470</v>
      </c>
      <c r="G34" s="11">
        <v>97140</v>
      </c>
      <c r="H34" s="12">
        <v>70828</v>
      </c>
      <c r="I34" s="12">
        <v>46767</v>
      </c>
      <c r="J34" s="13">
        <v>22552</v>
      </c>
      <c r="K34" s="9">
        <v>65395</v>
      </c>
      <c r="L34" s="9">
        <v>83444</v>
      </c>
    </row>
    <row r="35" spans="1:12" ht="11.25">
      <c r="A35" s="1" t="s">
        <v>29</v>
      </c>
      <c r="C35" s="9">
        <f>+C33-C34</f>
        <v>17101</v>
      </c>
      <c r="D35" s="9">
        <f aca="true" t="shared" si="5" ref="D35:K35">D33-D34</f>
        <v>14568</v>
      </c>
      <c r="E35" s="9">
        <f t="shared" si="5"/>
        <v>10849</v>
      </c>
      <c r="F35" s="9">
        <f t="shared" si="5"/>
        <v>2870</v>
      </c>
      <c r="G35" s="11">
        <f t="shared" si="5"/>
        <v>21422</v>
      </c>
      <c r="H35" s="12">
        <f t="shared" si="5"/>
        <v>13043</v>
      </c>
      <c r="I35" s="12">
        <f t="shared" si="5"/>
        <v>8598</v>
      </c>
      <c r="J35" s="13">
        <f t="shared" si="5"/>
        <v>4797</v>
      </c>
      <c r="K35" s="9">
        <f t="shared" si="5"/>
        <v>18750</v>
      </c>
      <c r="L35" s="9">
        <f>L33-L34</f>
        <v>12559</v>
      </c>
    </row>
    <row r="36" spans="1:12" ht="11.25">
      <c r="A36" s="1" t="s">
        <v>30</v>
      </c>
      <c r="C36" s="9">
        <v>12733</v>
      </c>
      <c r="D36" s="9">
        <v>10334</v>
      </c>
      <c r="E36" s="9">
        <v>7596</v>
      </c>
      <c r="F36" s="9">
        <v>2665</v>
      </c>
      <c r="G36" s="11">
        <v>12409</v>
      </c>
      <c r="H36" s="12">
        <v>5034</v>
      </c>
      <c r="I36" s="12">
        <v>4573</v>
      </c>
      <c r="J36" s="13">
        <v>2869</v>
      </c>
      <c r="K36" s="9">
        <v>13321</v>
      </c>
      <c r="L36" s="9">
        <v>6732</v>
      </c>
    </row>
    <row r="37" spans="1:12" ht="11.25">
      <c r="A37" s="1" t="s">
        <v>31</v>
      </c>
      <c r="C37" s="9">
        <f>+C36+C35</f>
        <v>29834</v>
      </c>
      <c r="D37" s="9">
        <f aca="true" t="shared" si="6" ref="D37:K37">D35+D36</f>
        <v>24902</v>
      </c>
      <c r="E37" s="9">
        <f t="shared" si="6"/>
        <v>18445</v>
      </c>
      <c r="F37" s="9">
        <f t="shared" si="6"/>
        <v>5535</v>
      </c>
      <c r="G37" s="11">
        <f t="shared" si="6"/>
        <v>33831</v>
      </c>
      <c r="H37" s="12">
        <f t="shared" si="6"/>
        <v>18077</v>
      </c>
      <c r="I37" s="12">
        <f t="shared" si="6"/>
        <v>13171</v>
      </c>
      <c r="J37" s="13">
        <f t="shared" si="6"/>
        <v>7666</v>
      </c>
      <c r="K37" s="9">
        <f t="shared" si="6"/>
        <v>32071</v>
      </c>
      <c r="L37" s="9">
        <f>L35+L36</f>
        <v>19291</v>
      </c>
    </row>
    <row r="38" spans="1:12" ht="11.25">
      <c r="A38" s="1" t="s">
        <v>32</v>
      </c>
      <c r="C38" s="9">
        <v>5835</v>
      </c>
      <c r="D38" s="9">
        <v>4616</v>
      </c>
      <c r="E38" s="9">
        <v>3790</v>
      </c>
      <c r="F38" s="9">
        <v>3343</v>
      </c>
      <c r="G38" s="11">
        <v>3049</v>
      </c>
      <c r="H38" s="12">
        <v>6103</v>
      </c>
      <c r="I38" s="12">
        <v>1871</v>
      </c>
      <c r="J38" s="13">
        <v>1910</v>
      </c>
      <c r="K38" s="9">
        <v>14255</v>
      </c>
      <c r="L38" s="9">
        <v>7802</v>
      </c>
    </row>
    <row r="39" spans="1:12" ht="11.25">
      <c r="A39" s="1" t="s">
        <v>33</v>
      </c>
      <c r="C39" s="9">
        <f>+C37-C38</f>
        <v>23999</v>
      </c>
      <c r="D39" s="9">
        <f aca="true" t="shared" si="7" ref="D39:K39">D37-D38</f>
        <v>20286</v>
      </c>
      <c r="E39" s="9">
        <f t="shared" si="7"/>
        <v>14655</v>
      </c>
      <c r="F39" s="9">
        <f t="shared" si="7"/>
        <v>2192</v>
      </c>
      <c r="G39" s="11">
        <f t="shared" si="7"/>
        <v>30782</v>
      </c>
      <c r="H39" s="12">
        <f t="shared" si="7"/>
        <v>11974</v>
      </c>
      <c r="I39" s="12">
        <f t="shared" si="7"/>
        <v>11300</v>
      </c>
      <c r="J39" s="13">
        <f t="shared" si="7"/>
        <v>5756</v>
      </c>
      <c r="K39" s="9">
        <f t="shared" si="7"/>
        <v>17816</v>
      </c>
      <c r="L39" s="9">
        <f>L37-L38</f>
        <v>11489</v>
      </c>
    </row>
    <row r="40" spans="1:12" ht="11.25">
      <c r="A40" s="2" t="s">
        <v>34</v>
      </c>
      <c r="B40" s="2"/>
      <c r="C40" s="25">
        <f>+C39-2328</f>
        <v>21671</v>
      </c>
      <c r="D40" s="17">
        <v>17462</v>
      </c>
      <c r="E40" s="17">
        <v>14639</v>
      </c>
      <c r="F40" s="17">
        <v>2185</v>
      </c>
      <c r="G40" s="18">
        <v>30787</v>
      </c>
      <c r="H40" s="17">
        <v>11848</v>
      </c>
      <c r="I40" s="17">
        <v>11300</v>
      </c>
      <c r="J40" s="19">
        <v>5756</v>
      </c>
      <c r="K40" s="17">
        <v>17816</v>
      </c>
      <c r="L40" s="17">
        <v>11488</v>
      </c>
    </row>
    <row r="41" spans="1:12" ht="11.25">
      <c r="A41" s="26" t="s">
        <v>35</v>
      </c>
      <c r="B41" s="3"/>
      <c r="C41" s="23"/>
      <c r="D41" s="23"/>
      <c r="E41" s="9"/>
      <c r="F41" s="3"/>
      <c r="G41" s="27"/>
      <c r="H41" s="3"/>
      <c r="I41" s="3"/>
      <c r="J41" s="28"/>
      <c r="K41" s="3"/>
      <c r="L41" s="3"/>
    </row>
    <row r="42" spans="1:12" ht="11.25">
      <c r="A42" s="23" t="s">
        <v>36</v>
      </c>
      <c r="B42" s="23"/>
      <c r="C42" s="12">
        <v>1621</v>
      </c>
      <c r="D42" s="12">
        <v>1998</v>
      </c>
      <c r="E42" s="9">
        <v>5899</v>
      </c>
      <c r="F42" s="12">
        <v>6650</v>
      </c>
      <c r="G42" s="11">
        <v>1167</v>
      </c>
      <c r="H42" s="12">
        <v>2286</v>
      </c>
      <c r="I42" s="12">
        <v>2384</v>
      </c>
      <c r="J42" s="13">
        <v>2384</v>
      </c>
      <c r="K42" s="12">
        <v>2338</v>
      </c>
      <c r="L42" s="12">
        <v>5951</v>
      </c>
    </row>
    <row r="43" spans="1:12" ht="11.25">
      <c r="A43" s="23" t="s">
        <v>37</v>
      </c>
      <c r="B43" s="23"/>
      <c r="C43" s="12">
        <v>3387</v>
      </c>
      <c r="D43" s="12">
        <v>4032</v>
      </c>
      <c r="E43" s="9">
        <v>1941</v>
      </c>
      <c r="F43" s="12">
        <v>4353</v>
      </c>
      <c r="G43" s="11">
        <v>1227</v>
      </c>
      <c r="H43" s="12">
        <v>2085</v>
      </c>
      <c r="I43" s="12">
        <v>2181</v>
      </c>
      <c r="J43" s="13">
        <v>2175</v>
      </c>
      <c r="K43" s="12">
        <v>2235</v>
      </c>
      <c r="L43" s="12">
        <v>2454</v>
      </c>
    </row>
    <row r="44" spans="1:12" ht="11.25">
      <c r="A44" s="23" t="s">
        <v>38</v>
      </c>
      <c r="B44" s="23"/>
      <c r="C44" s="29">
        <f>C42/C13</f>
        <v>0.004770860373604575</v>
      </c>
      <c r="D44" s="29">
        <f>D42/D13</f>
        <v>0.005657524394180508</v>
      </c>
      <c r="E44" s="29">
        <f>E42/E13</f>
        <v>0.01676566718772204</v>
      </c>
      <c r="F44" s="30">
        <f aca="true" t="shared" si="8" ref="F44:K44">+F42/F13</f>
        <v>0.017239144523655218</v>
      </c>
      <c r="G44" s="31">
        <f t="shared" si="8"/>
        <v>0.002897039657419475</v>
      </c>
      <c r="H44" s="30">
        <f t="shared" si="8"/>
        <v>0.004760427230643324</v>
      </c>
      <c r="I44" s="30">
        <f t="shared" si="8"/>
        <v>0.004919582165689216</v>
      </c>
      <c r="J44" s="32">
        <f t="shared" si="8"/>
        <v>0.004784785025870755</v>
      </c>
      <c r="K44" s="30">
        <f t="shared" si="8"/>
        <v>0.004344521684514884</v>
      </c>
      <c r="L44" s="30">
        <f>+L42/L13</f>
        <v>0.00652087205021214</v>
      </c>
    </row>
    <row r="45" spans="1:12" ht="11.25">
      <c r="A45" s="23" t="s">
        <v>39</v>
      </c>
      <c r="B45" s="23"/>
      <c r="C45" s="29">
        <f>C43/C42</f>
        <v>2.0894509561998764</v>
      </c>
      <c r="D45" s="29">
        <f>D43/D42</f>
        <v>2.018018018018018</v>
      </c>
      <c r="E45" s="29">
        <f>E43/E42</f>
        <v>0.3290388201390066</v>
      </c>
      <c r="F45" s="30">
        <f aca="true" t="shared" si="9" ref="F45:K45">+F43/F42</f>
        <v>0.6545864661654135</v>
      </c>
      <c r="G45" s="31">
        <f t="shared" si="9"/>
        <v>1.051413881748072</v>
      </c>
      <c r="H45" s="30">
        <f t="shared" si="9"/>
        <v>0.9120734908136483</v>
      </c>
      <c r="I45" s="30">
        <f t="shared" si="9"/>
        <v>0.9148489932885906</v>
      </c>
      <c r="J45" s="32">
        <f t="shared" si="9"/>
        <v>0.9123322147651006</v>
      </c>
      <c r="K45" s="30">
        <f t="shared" si="9"/>
        <v>0.955945252352438</v>
      </c>
      <c r="L45" s="30">
        <f>+L43/L42</f>
        <v>0.41236766929927743</v>
      </c>
    </row>
    <row r="46" spans="1:12" ht="11.25">
      <c r="A46" s="2" t="s">
        <v>40</v>
      </c>
      <c r="B46" s="2"/>
      <c r="C46" s="33">
        <f>C43/C13</f>
        <v>0.00996847876952418</v>
      </c>
      <c r="D46" s="33">
        <f>D43/D13</f>
        <v>0.011416986164832738</v>
      </c>
      <c r="E46" s="33">
        <f>E43/E13</f>
        <v>0.005516555350291317</v>
      </c>
      <c r="F46" s="33">
        <f aca="true" t="shared" si="10" ref="F46:K46">+F43/F13</f>
        <v>0.011284510693454309</v>
      </c>
      <c r="G46" s="34">
        <f t="shared" si="10"/>
        <v>0.0030459877117855146</v>
      </c>
      <c r="H46" s="33">
        <f t="shared" si="10"/>
        <v>0.004341859482017205</v>
      </c>
      <c r="I46" s="33">
        <f t="shared" si="10"/>
        <v>0.0045006747916812835</v>
      </c>
      <c r="J46" s="35">
        <f t="shared" si="10"/>
        <v>0.004365313519827555</v>
      </c>
      <c r="K46" s="33">
        <f t="shared" si="10"/>
        <v>0.004153124878054219</v>
      </c>
      <c r="L46" s="33">
        <f>+L43/L13</f>
        <v>0.0026889968091447806</v>
      </c>
    </row>
    <row r="47" spans="1:12" ht="11.25">
      <c r="A47" s="4" t="s">
        <v>41</v>
      </c>
      <c r="C47" s="3"/>
      <c r="D47" s="3"/>
      <c r="E47" s="3"/>
      <c r="F47" s="28"/>
      <c r="G47" s="3"/>
      <c r="H47" s="3"/>
      <c r="I47" s="3"/>
      <c r="J47" s="28"/>
      <c r="K47" s="3"/>
      <c r="L47" s="3"/>
    </row>
    <row r="48" spans="1:12" ht="11.25">
      <c r="A48" s="1" t="s">
        <v>42</v>
      </c>
      <c r="C48" s="30">
        <f aca="true" t="shared" si="11" ref="C48:K48">+C25/C13</f>
        <v>0.008829476323759237</v>
      </c>
      <c r="D48" s="30">
        <f t="shared" si="11"/>
        <v>0.057937240555218913</v>
      </c>
      <c r="E48" s="30">
        <f t="shared" si="11"/>
        <v>0.05013215859030837</v>
      </c>
      <c r="F48" s="32">
        <f t="shared" si="11"/>
        <v>-0.011014906027219702</v>
      </c>
      <c r="G48" s="30">
        <f t="shared" si="11"/>
        <v>0.08386768447837151</v>
      </c>
      <c r="H48" s="30">
        <f t="shared" si="11"/>
        <v>0.030915705453250564</v>
      </c>
      <c r="I48" s="30">
        <f t="shared" si="11"/>
        <v>0.02950923866164253</v>
      </c>
      <c r="J48" s="32">
        <f t="shared" si="11"/>
        <v>0.017573648358441413</v>
      </c>
      <c r="K48" s="30">
        <f t="shared" si="11"/>
        <v>0.038872133925734326</v>
      </c>
      <c r="L48" s="30">
        <f>+L25/L13</f>
        <v>0.01707962235702514</v>
      </c>
    </row>
    <row r="49" spans="1:12" ht="11.25">
      <c r="A49" s="2" t="s">
        <v>43</v>
      </c>
      <c r="B49" s="2"/>
      <c r="C49" s="33">
        <f aca="true" t="shared" si="12" ref="C49:K49">C25/(C13+C16)</f>
        <v>0.004734026605229522</v>
      </c>
      <c r="D49" s="33">
        <f t="shared" si="12"/>
        <v>0.02909727485910696</v>
      </c>
      <c r="E49" s="33">
        <f t="shared" si="12"/>
        <v>0.029247077199085397</v>
      </c>
      <c r="F49" s="35">
        <f t="shared" si="12"/>
        <v>-0.006383723533238481</v>
      </c>
      <c r="G49" s="33">
        <f t="shared" si="12"/>
        <v>0.04729678649527228</v>
      </c>
      <c r="H49" s="33">
        <f t="shared" si="12"/>
        <v>0.018436464609836424</v>
      </c>
      <c r="I49" s="33">
        <f t="shared" si="12"/>
        <v>0.01603628012129259</v>
      </c>
      <c r="J49" s="35">
        <f t="shared" si="12"/>
        <v>0.009672402060853505</v>
      </c>
      <c r="K49" s="33">
        <f t="shared" si="12"/>
        <v>0.021549650522542197</v>
      </c>
      <c r="L49" s="33">
        <f>L25/(L13+L16)</f>
        <v>0.011714176204898506</v>
      </c>
    </row>
    <row r="50" spans="1:10" ht="11.25">
      <c r="A50" s="4" t="s">
        <v>44</v>
      </c>
      <c r="G50" s="22"/>
      <c r="H50" s="23"/>
      <c r="I50" s="23"/>
      <c r="J50" s="24"/>
    </row>
    <row r="51" spans="1:12" ht="11.25">
      <c r="A51" s="1" t="s">
        <v>45</v>
      </c>
      <c r="C51" s="36">
        <f aca="true" t="shared" si="13" ref="C51:K51">C12/C17</f>
        <v>0.6281413373633958</v>
      </c>
      <c r="D51" s="36">
        <f t="shared" si="13"/>
        <v>0.6279069619057828</v>
      </c>
      <c r="E51" s="36">
        <f t="shared" si="13"/>
        <v>0.7490072879885492</v>
      </c>
      <c r="F51" s="29">
        <f t="shared" si="13"/>
        <v>0.6992824124878102</v>
      </c>
      <c r="G51" s="31">
        <f t="shared" si="13"/>
        <v>0.7283159404569383</v>
      </c>
      <c r="H51" s="30">
        <f t="shared" si="13"/>
        <v>0.6697927930985991</v>
      </c>
      <c r="I51" s="30">
        <f t="shared" si="13"/>
        <v>0.5580437072765151</v>
      </c>
      <c r="J51" s="32">
        <f t="shared" si="13"/>
        <v>0.6222590990806675</v>
      </c>
      <c r="K51" s="29">
        <f t="shared" si="13"/>
        <v>0.5252384471707494</v>
      </c>
      <c r="L51" s="29">
        <f>L12/L17</f>
        <v>0.20894315038492955</v>
      </c>
    </row>
    <row r="52" spans="1:12" ht="11.25">
      <c r="A52" s="1" t="s">
        <v>46</v>
      </c>
      <c r="C52" s="36">
        <f aca="true" t="shared" si="14" ref="C52:K52">C12/C11</f>
        <v>0.5539714586174828</v>
      </c>
      <c r="D52" s="36">
        <f t="shared" si="14"/>
        <v>0.5775833785746776</v>
      </c>
      <c r="E52" s="36">
        <f t="shared" si="14"/>
        <v>0.6654103603978009</v>
      </c>
      <c r="F52" s="29">
        <f t="shared" si="14"/>
        <v>0.6436250744503171</v>
      </c>
      <c r="G52" s="31">
        <f t="shared" si="14"/>
        <v>0.6154819115471472</v>
      </c>
      <c r="H52" s="30">
        <f t="shared" si="14"/>
        <v>0.6266946399468605</v>
      </c>
      <c r="I52" s="30">
        <f t="shared" si="14"/>
        <v>0.5111623285407594</v>
      </c>
      <c r="J52" s="32">
        <f t="shared" si="14"/>
        <v>0.5881626185125831</v>
      </c>
      <c r="K52" s="29">
        <f t="shared" si="14"/>
        <v>0.4970521018302859</v>
      </c>
      <c r="L52" s="29">
        <f>L12/L11</f>
        <v>0.190971320580513</v>
      </c>
    </row>
    <row r="53" spans="1:12" ht="11.25">
      <c r="A53" s="2" t="s">
        <v>47</v>
      </c>
      <c r="B53" s="2"/>
      <c r="C53" s="37">
        <f aca="true" t="shared" si="15" ref="C53:K53">(C12+C16)/C17</f>
        <v>0.8584276018542675</v>
      </c>
      <c r="D53" s="37">
        <f t="shared" si="15"/>
        <v>0.8512472627597507</v>
      </c>
      <c r="E53" s="37">
        <f t="shared" si="15"/>
        <v>0.901652251888826</v>
      </c>
      <c r="F53" s="33">
        <f t="shared" si="15"/>
        <v>0.8575798645600237</v>
      </c>
      <c r="G53" s="34">
        <f t="shared" si="15"/>
        <v>0.9207183811838192</v>
      </c>
      <c r="H53" s="33">
        <f t="shared" si="15"/>
        <v>0.8274130899674618</v>
      </c>
      <c r="I53" s="33">
        <f t="shared" si="15"/>
        <v>0.7984608916246616</v>
      </c>
      <c r="J53" s="35">
        <f t="shared" si="15"/>
        <v>0.8150148801912545</v>
      </c>
      <c r="K53" s="33">
        <f t="shared" si="15"/>
        <v>0.7577521869415069</v>
      </c>
      <c r="L53" s="33">
        <f>(L12+L16)/L17</f>
        <v>0.4838471646219956</v>
      </c>
    </row>
    <row r="54" spans="1:12" ht="11.25">
      <c r="A54" s="4" t="s">
        <v>48</v>
      </c>
      <c r="G54" s="22"/>
      <c r="H54" s="23"/>
      <c r="I54" s="23"/>
      <c r="J54" s="24"/>
      <c r="L54" s="3"/>
    </row>
    <row r="55" spans="1:12" ht="11.25">
      <c r="A55" s="1" t="s">
        <v>49</v>
      </c>
      <c r="B55" s="23"/>
      <c r="C55" s="38">
        <f>C40/C28</f>
        <v>0.032152628174313504</v>
      </c>
      <c r="D55" s="38">
        <f>(D40/0.75)/D28</f>
        <v>0.030869758813435913</v>
      </c>
      <c r="E55" s="29">
        <f>(E40/0.5)/E28</f>
        <v>0.0391723211520232</v>
      </c>
      <c r="F55" s="29">
        <f>((F40)/0.25)/F28</f>
        <v>0.011127697973396654</v>
      </c>
      <c r="G55" s="39">
        <f>G40/G28</f>
        <v>0.036541717580605246</v>
      </c>
      <c r="H55" s="38">
        <f>(H40/0.75)/H28</f>
        <v>0.017297975995919326</v>
      </c>
      <c r="I55" s="38">
        <f>(I40/0.5)/I28</f>
        <v>0.02141227197943664</v>
      </c>
      <c r="J55" s="32">
        <f>((J40)/0.25)/J28</f>
        <v>0.02161958119573449</v>
      </c>
      <c r="K55" s="29">
        <f>K40/K28</f>
        <v>0.0154831196539415</v>
      </c>
      <c r="L55" s="40" t="s">
        <v>50</v>
      </c>
    </row>
    <row r="56" spans="1:12" ht="11.25">
      <c r="A56" s="1" t="s">
        <v>51</v>
      </c>
      <c r="B56" s="23"/>
      <c r="C56" s="38">
        <f>C40/C27</f>
        <v>0.01288811232063335</v>
      </c>
      <c r="D56" s="38">
        <f>(D40/0.75)/D27</f>
        <v>0.011915896440132762</v>
      </c>
      <c r="E56" s="29">
        <f>(E40/0.5)/E27</f>
        <v>0.015819323207662522</v>
      </c>
      <c r="F56" s="29">
        <f>((F40)/0.25)/F27</f>
        <v>0.004207299520252322</v>
      </c>
      <c r="G56" s="39">
        <f>G40/G27</f>
        <v>0.015862968519063825</v>
      </c>
      <c r="H56" s="38">
        <f>(H40/0.75)/H27</f>
        <v>0.007665064252249061</v>
      </c>
      <c r="I56" s="38">
        <f>(I40/0.5)/I27</f>
        <v>0.012624770861805404</v>
      </c>
      <c r="J56" s="32">
        <f>((J40)/0.25)/J27</f>
        <v>0.011860463379196643</v>
      </c>
      <c r="K56" s="29">
        <f>K40/K27</f>
        <v>0.009817035388660321</v>
      </c>
      <c r="L56" s="40" t="s">
        <v>50</v>
      </c>
    </row>
    <row r="57" spans="1:12" ht="11.25">
      <c r="A57" s="1" t="s">
        <v>52</v>
      </c>
      <c r="B57" s="23"/>
      <c r="C57" s="38">
        <f>+C40/C31</f>
        <v>1.178284036537625</v>
      </c>
      <c r="D57" s="38">
        <f>(D40/0.75)/D31</f>
        <v>1.3188697236619746</v>
      </c>
      <c r="E57" s="29">
        <f>(E40/0.5)/E31</f>
        <v>1.8333698612980995</v>
      </c>
      <c r="F57" s="29">
        <f>((F40)/0.25)/F31</f>
        <v>3.878411360106501</v>
      </c>
      <c r="G57" s="39">
        <f>+G40/G31</f>
        <v>1.125605542657624</v>
      </c>
      <c r="H57" s="38">
        <f>(H40/0.75)/H31</f>
        <v>0.8439422674537668</v>
      </c>
      <c r="I57" s="38">
        <f>(I40/0.5)/I31</f>
        <v>1.915741290158515</v>
      </c>
      <c r="J57" s="32">
        <f>((J40)/0.25)/J31</f>
        <v>3.0020209922419974</v>
      </c>
      <c r="K57" s="29">
        <f>K40/K31</f>
        <v>0.976058730071769</v>
      </c>
      <c r="L57" s="40" t="s">
        <v>50</v>
      </c>
    </row>
    <row r="58" spans="1:12" ht="11.25">
      <c r="A58" s="1" t="s">
        <v>53</v>
      </c>
      <c r="B58" s="23"/>
      <c r="C58" s="38">
        <f>C33/C28</f>
        <v>0.1322677610221898</v>
      </c>
      <c r="D58" s="38">
        <f>(D33/0.75)/D28</f>
        <v>0.13220325125101237</v>
      </c>
      <c r="E58" s="29">
        <f>(E33/0.5)/E28</f>
        <v>0.14823615512389027</v>
      </c>
      <c r="F58" s="29">
        <f>((F33)/0.25)/F28</f>
        <v>0.1341435078349052</v>
      </c>
      <c r="G58" s="39">
        <f>G33/G28</f>
        <v>0.14072365348334423</v>
      </c>
      <c r="H58" s="38">
        <f>(H33/0.75)/H28</f>
        <v>0.12245092376382087</v>
      </c>
      <c r="I58" s="38">
        <f>(I33/0.5)/I28</f>
        <v>0.10491065824261146</v>
      </c>
      <c r="J58" s="32">
        <f>((J33)/0.25)/J28</f>
        <v>0.1027230587425543</v>
      </c>
      <c r="K58" s="29">
        <f>K33/K28</f>
        <v>0.07312680193538995</v>
      </c>
      <c r="L58" s="40" t="s">
        <v>50</v>
      </c>
    </row>
    <row r="59" spans="1:12" ht="11.25">
      <c r="A59" s="1" t="s">
        <v>54</v>
      </c>
      <c r="B59" s="23"/>
      <c r="C59" s="38">
        <f>C34/C28</f>
        <v>0.10689550803852796</v>
      </c>
      <c r="D59" s="38">
        <f>(D34/0.75)/D28</f>
        <v>0.10644957776606595</v>
      </c>
      <c r="E59" s="29">
        <f>(E34/0.5)/E28</f>
        <v>0.11920544864268938</v>
      </c>
      <c r="F59" s="29">
        <f>((F34)/0.25)/F28</f>
        <v>0.11952726381492881</v>
      </c>
      <c r="G59" s="39">
        <f>G34/G28</f>
        <v>0.11529744521323915</v>
      </c>
      <c r="H59" s="38">
        <f>(H34/0.75)/H28</f>
        <v>0.10340825825784722</v>
      </c>
      <c r="I59" s="38">
        <f>(I34/0.5)/I28</f>
        <v>0.08861838262498348</v>
      </c>
      <c r="J59" s="32">
        <f>((J34)/0.25)/J28</f>
        <v>0.08470548907682492</v>
      </c>
      <c r="K59" s="29">
        <f>K34/K28</f>
        <v>0.05683198303600721</v>
      </c>
      <c r="L59" s="40" t="s">
        <v>50</v>
      </c>
    </row>
    <row r="60" spans="1:12" ht="11.25">
      <c r="A60" s="1" t="s">
        <v>55</v>
      </c>
      <c r="B60" s="23"/>
      <c r="C60" s="38">
        <f>C35/C28</f>
        <v>0.025372252983661817</v>
      </c>
      <c r="D60" s="38">
        <f>(D35/0.75)/D28</f>
        <v>0.025753673484946418</v>
      </c>
      <c r="E60" s="29">
        <f>(E35/0.5)/E28</f>
        <v>0.029030706481200885</v>
      </c>
      <c r="F60" s="29">
        <f>((F35)/0.25)/F28</f>
        <v>0.014616244019976382</v>
      </c>
      <c r="G60" s="39">
        <f>G35/G28</f>
        <v>0.025426208270105097</v>
      </c>
      <c r="H60" s="38">
        <f>(H35/0.75)/H28</f>
        <v>0.019042665505973645</v>
      </c>
      <c r="I60" s="38">
        <f>(I35/0.5)/I28</f>
        <v>0.016292275617627985</v>
      </c>
      <c r="J60" s="32">
        <f>((J35)/0.25)/J28</f>
        <v>0.018017569665729385</v>
      </c>
      <c r="K60" s="29">
        <f>K35/K28</f>
        <v>0.01629481889938275</v>
      </c>
      <c r="L60" s="40" t="s">
        <v>50</v>
      </c>
    </row>
    <row r="61" spans="1:12" ht="11.25">
      <c r="A61" s="1" t="s">
        <v>56</v>
      </c>
      <c r="B61" s="23"/>
      <c r="C61" s="38">
        <f>C38/C37</f>
        <v>0.19558222162633238</v>
      </c>
      <c r="D61" s="38">
        <f>(D38/0.75)/(D37/0.75)</f>
        <v>0.18536663721789418</v>
      </c>
      <c r="E61" s="29">
        <f>(E38/0.5)/(E37/0.5)</f>
        <v>0.2054757386825698</v>
      </c>
      <c r="F61" s="29">
        <f>(F38/0.25)/(F37/0.25)</f>
        <v>0.6039747064137309</v>
      </c>
      <c r="G61" s="39">
        <f>G38/G37</f>
        <v>0.09012444207974935</v>
      </c>
      <c r="H61" s="38">
        <f>(H38/0.75)/(H37/0.75)</f>
        <v>0.33761132931349225</v>
      </c>
      <c r="I61" s="38">
        <f>(I38/0.5)/(I37/0.5)</f>
        <v>0.14205451370435046</v>
      </c>
      <c r="J61" s="32">
        <f>(J38/0.25)/(J37/0.25)</f>
        <v>0.24915210018262457</v>
      </c>
      <c r="K61" s="29">
        <f>K38/K37</f>
        <v>0.4444825543325746</v>
      </c>
      <c r="L61" s="30">
        <f>L38/L37</f>
        <v>0.40443730236898034</v>
      </c>
    </row>
    <row r="62" spans="1:12" ht="11.25">
      <c r="A62" s="2" t="s">
        <v>57</v>
      </c>
      <c r="B62" s="2"/>
      <c r="C62" s="41">
        <f>C36/C28</f>
        <v>0.018891579278461256</v>
      </c>
      <c r="D62" s="41">
        <f>(D36/0.75)/D28</f>
        <v>0.01826870275902226</v>
      </c>
      <c r="E62" s="33">
        <f>(E36/0.5)/E28</f>
        <v>0.02032604354605972</v>
      </c>
      <c r="F62" s="33">
        <f>(F36/0.25)/F28</f>
        <v>0.01357222658997807</v>
      </c>
      <c r="G62" s="42">
        <f>G36/G28</f>
        <v>0.014728494931553269</v>
      </c>
      <c r="H62" s="41">
        <f>(H36/0.75)/H28</f>
        <v>0.007349595810555189</v>
      </c>
      <c r="I62" s="41">
        <f>(I36/0.5)/I28</f>
        <v>0.008665338032032191</v>
      </c>
      <c r="J62" s="35">
        <f>(J36/0.25)/J28</f>
        <v>0.010775986527199835</v>
      </c>
      <c r="K62" s="33">
        <f>K36/K28</f>
        <v>0.011576708403129474</v>
      </c>
      <c r="L62" s="43" t="s">
        <v>50</v>
      </c>
    </row>
    <row r="63" spans="1:10" ht="11.25">
      <c r="A63" s="4" t="s">
        <v>58</v>
      </c>
      <c r="G63" s="27"/>
      <c r="H63" s="23"/>
      <c r="I63" s="23"/>
      <c r="J63" s="24"/>
    </row>
    <row r="64" spans="1:12" ht="11.25">
      <c r="A64" s="1" t="s">
        <v>59</v>
      </c>
      <c r="C64" s="1">
        <f>118+13</f>
        <v>131</v>
      </c>
      <c r="D64" s="9">
        <v>133</v>
      </c>
      <c r="E64" s="9">
        <v>127</v>
      </c>
      <c r="F64" s="9">
        <f>115+11</f>
        <v>126</v>
      </c>
      <c r="G64" s="11">
        <v>124</v>
      </c>
      <c r="H64" s="12">
        <v>122</v>
      </c>
      <c r="I64" s="12">
        <v>113</v>
      </c>
      <c r="J64" s="13">
        <v>122</v>
      </c>
      <c r="K64" s="9">
        <v>118</v>
      </c>
      <c r="L64" s="9">
        <v>109</v>
      </c>
    </row>
    <row r="65" spans="1:12" ht="11.25">
      <c r="A65" s="1" t="s">
        <v>60</v>
      </c>
      <c r="C65" s="1">
        <v>1</v>
      </c>
      <c r="D65" s="9">
        <v>1</v>
      </c>
      <c r="E65" s="9">
        <v>1</v>
      </c>
      <c r="F65" s="9">
        <v>1</v>
      </c>
      <c r="G65" s="11">
        <v>1</v>
      </c>
      <c r="H65" s="12">
        <v>1</v>
      </c>
      <c r="I65" s="12">
        <v>1</v>
      </c>
      <c r="J65" s="13">
        <v>1</v>
      </c>
      <c r="K65" s="9">
        <v>1</v>
      </c>
      <c r="L65" s="9">
        <v>1</v>
      </c>
    </row>
    <row r="66" spans="1:12" ht="11.25">
      <c r="A66" s="1" t="s">
        <v>61</v>
      </c>
      <c r="C66" s="44">
        <f aca="true" t="shared" si="16" ref="C66:K66">C13/C64</f>
        <v>2593.671755725191</v>
      </c>
      <c r="D66" s="44">
        <f t="shared" si="16"/>
        <v>2655.3233082706765</v>
      </c>
      <c r="E66" s="44">
        <f t="shared" si="16"/>
        <v>2770.472440944882</v>
      </c>
      <c r="F66" s="44">
        <f t="shared" si="16"/>
        <v>3061.5079365079364</v>
      </c>
      <c r="G66" s="45">
        <f t="shared" si="16"/>
        <v>3248.5887096774195</v>
      </c>
      <c r="H66" s="44">
        <f t="shared" si="16"/>
        <v>3936.1393442622953</v>
      </c>
      <c r="I66" s="44">
        <f t="shared" si="16"/>
        <v>4288.442477876106</v>
      </c>
      <c r="J66" s="46">
        <f t="shared" si="16"/>
        <v>4083.9836065573772</v>
      </c>
      <c r="K66" s="44">
        <f t="shared" si="16"/>
        <v>4560.5847457627115</v>
      </c>
      <c r="L66" s="44">
        <f>L13/L64</f>
        <v>8372.550458715596</v>
      </c>
    </row>
    <row r="67" spans="1:12" ht="11.25">
      <c r="A67" s="1" t="s">
        <v>62</v>
      </c>
      <c r="C67" s="44">
        <f aca="true" t="shared" si="17" ref="C67:K67">C17/C64</f>
        <v>9743.564885496184</v>
      </c>
      <c r="D67" s="44">
        <f t="shared" si="17"/>
        <v>11784</v>
      </c>
      <c r="E67" s="44">
        <f t="shared" si="17"/>
        <v>12960.598425196851</v>
      </c>
      <c r="F67" s="44">
        <f t="shared" si="17"/>
        <v>14030.698412698413</v>
      </c>
      <c r="G67" s="45">
        <f t="shared" si="17"/>
        <v>13055.338709677419</v>
      </c>
      <c r="H67" s="44">
        <f t="shared" si="17"/>
        <v>16903.196721311477</v>
      </c>
      <c r="I67" s="44">
        <f t="shared" si="17"/>
        <v>14986.265486725664</v>
      </c>
      <c r="J67" s="46">
        <f t="shared" si="17"/>
        <v>17307.639344262294</v>
      </c>
      <c r="K67" s="44">
        <f t="shared" si="17"/>
        <v>15766.737288135593</v>
      </c>
      <c r="L67" s="44">
        <f>L17/L64</f>
        <v>13949.88990825688</v>
      </c>
    </row>
    <row r="68" spans="1:12" ht="11.25">
      <c r="A68" s="2" t="s">
        <v>63</v>
      </c>
      <c r="B68" s="2"/>
      <c r="C68" s="47">
        <f aca="true" t="shared" si="18" ref="C68:K68">C40/C64</f>
        <v>165.42748091603053</v>
      </c>
      <c r="D68" s="47">
        <f t="shared" si="18"/>
        <v>131.29323308270676</v>
      </c>
      <c r="E68" s="47">
        <f t="shared" si="18"/>
        <v>115.26771653543307</v>
      </c>
      <c r="F68" s="47">
        <f t="shared" si="18"/>
        <v>17.341269841269842</v>
      </c>
      <c r="G68" s="48">
        <f t="shared" si="18"/>
        <v>248.28225806451613</v>
      </c>
      <c r="H68" s="47">
        <f t="shared" si="18"/>
        <v>97.11475409836065</v>
      </c>
      <c r="I68" s="47">
        <f t="shared" si="18"/>
        <v>100</v>
      </c>
      <c r="J68" s="49">
        <f t="shared" si="18"/>
        <v>47.18032786885246</v>
      </c>
      <c r="K68" s="47">
        <f t="shared" si="18"/>
        <v>150.98305084745763</v>
      </c>
      <c r="L68" s="47">
        <f>L40/L64</f>
        <v>105.39449541284404</v>
      </c>
    </row>
    <row r="69" spans="1:10" ht="11.25">
      <c r="A69" s="4" t="s">
        <v>64</v>
      </c>
      <c r="G69" s="22"/>
      <c r="H69" s="23"/>
      <c r="I69" s="23"/>
      <c r="J69" s="24"/>
    </row>
    <row r="70" spans="1:12" ht="11.25">
      <c r="A70" s="1" t="s">
        <v>65</v>
      </c>
      <c r="C70" s="29">
        <f>(C11/G11)-1</f>
        <v>-0.24448200655446062</v>
      </c>
      <c r="D70" s="29">
        <f>(D11/H11)-1</f>
        <v>-0.2269424611888886</v>
      </c>
      <c r="E70" s="29">
        <f>(E11/I11)-1</f>
        <v>0.00217604960722384</v>
      </c>
      <c r="F70" s="29">
        <f>+(F11/J11)-1</f>
        <v>-0.14019893103664383</v>
      </c>
      <c r="G70" s="31">
        <f>+(G11/K11)-1</f>
        <v>-0.02560304622078491</v>
      </c>
      <c r="H70" s="30">
        <f>+(H11/1917897)-1</f>
        <v>0.14917954405267864</v>
      </c>
      <c r="I70" s="30">
        <f>+(I11/1731500)-1</f>
        <v>0.06772336124747325</v>
      </c>
      <c r="J70" s="32">
        <f>+(J11/1648539)-1</f>
        <v>0.3551029123363172</v>
      </c>
      <c r="K70" s="29">
        <f>+(K11/L11)-1</f>
        <v>0.18173790838358483</v>
      </c>
      <c r="L70" s="50" t="s">
        <v>24</v>
      </c>
    </row>
    <row r="71" spans="1:12" ht="11.25">
      <c r="A71" s="1" t="s">
        <v>66</v>
      </c>
      <c r="C71" s="29">
        <f>(C13/G13)-1</f>
        <v>-0.15652951033327123</v>
      </c>
      <c r="D71" s="29">
        <f>(D13/H13)-1</f>
        <v>-0.26457438323729876</v>
      </c>
      <c r="E71" s="29">
        <f>(E13/I13)-1</f>
        <v>-0.27392827810497034</v>
      </c>
      <c r="F71" s="29">
        <f aca="true" t="shared" si="19" ref="F71:K71">SUM(F72:F73)</f>
        <v>-0.22578405044897498</v>
      </c>
      <c r="G71" s="31">
        <f t="shared" si="19"/>
        <v>-0.25146195570371777</v>
      </c>
      <c r="H71" s="30">
        <f t="shared" si="19"/>
        <v>-0.11305149265723091</v>
      </c>
      <c r="I71" s="30">
        <f t="shared" si="19"/>
        <v>-0.353087158100461</v>
      </c>
      <c r="J71" s="32">
        <f t="shared" si="19"/>
        <v>-0.40895033719461205</v>
      </c>
      <c r="K71" s="29">
        <f t="shared" si="19"/>
        <v>-0.4103174637960658</v>
      </c>
      <c r="L71" s="50" t="s">
        <v>24</v>
      </c>
    </row>
    <row r="72" spans="2:12" ht="11.25">
      <c r="B72" s="1" t="s">
        <v>15</v>
      </c>
      <c r="C72" s="29">
        <v>0</v>
      </c>
      <c r="D72" s="29">
        <v>0</v>
      </c>
      <c r="E72" s="29">
        <v>0</v>
      </c>
      <c r="F72" s="29">
        <v>0</v>
      </c>
      <c r="G72" s="31">
        <v>0</v>
      </c>
      <c r="H72" s="30">
        <v>0</v>
      </c>
      <c r="I72" s="30">
        <v>0</v>
      </c>
      <c r="J72" s="32">
        <v>0</v>
      </c>
      <c r="K72" s="29">
        <v>0</v>
      </c>
      <c r="L72" s="50" t="s">
        <v>24</v>
      </c>
    </row>
    <row r="73" spans="2:12" ht="11.25">
      <c r="B73" s="1" t="s">
        <v>16</v>
      </c>
      <c r="C73" s="29">
        <f>(C15/G15)-1</f>
        <v>-0.15652951033327123</v>
      </c>
      <c r="D73" s="29">
        <f>(D15/H15)-1</f>
        <v>-0.26457438323729876</v>
      </c>
      <c r="E73" s="29">
        <f>(E15/I15)-1</f>
        <v>-0.27392827810497034</v>
      </c>
      <c r="F73" s="29">
        <f>+(F15/J15)-1</f>
        <v>-0.22578405044897498</v>
      </c>
      <c r="G73" s="31">
        <f>+(G15/K15)-1</f>
        <v>-0.25146195570371777</v>
      </c>
      <c r="H73" s="30">
        <f>+(H15/541417)-1</f>
        <v>-0.11305149265723091</v>
      </c>
      <c r="I73" s="30">
        <f>+(I15/749087)-1</f>
        <v>-0.353087158100461</v>
      </c>
      <c r="J73" s="32">
        <f>+(J15/842985)-1</f>
        <v>-0.40895033719461205</v>
      </c>
      <c r="K73" s="29">
        <f>+(K15/L15)-1</f>
        <v>-0.4103174637960658</v>
      </c>
      <c r="L73" s="50" t="s">
        <v>24</v>
      </c>
    </row>
    <row r="74" spans="1:12" ht="11.25">
      <c r="A74" s="1" t="s">
        <v>67</v>
      </c>
      <c r="C74" s="29">
        <f>(C17/G17)-1</f>
        <v>-0.2115405760342759</v>
      </c>
      <c r="D74" s="29">
        <f>(D17/H17)-1</f>
        <v>-0.23999631459758797</v>
      </c>
      <c r="E74" s="29">
        <f>(E17/I17)-1</f>
        <v>-0.02802093716488485</v>
      </c>
      <c r="F74" s="29">
        <f aca="true" t="shared" si="20" ref="F74:K74">SUM(F75:F76)</f>
        <v>-0.1627557621669954</v>
      </c>
      <c r="G74" s="31">
        <f t="shared" si="20"/>
        <v>-0.1298662975852941</v>
      </c>
      <c r="H74" s="30">
        <f t="shared" si="20"/>
        <v>0.14555864725432888</v>
      </c>
      <c r="I74" s="30">
        <f t="shared" si="20"/>
        <v>-0.008616258607184513</v>
      </c>
      <c r="J74" s="32">
        <f t="shared" si="20"/>
        <v>0.4981046053513769</v>
      </c>
      <c r="K74" s="29">
        <f t="shared" si="20"/>
        <v>0.22356363339817875</v>
      </c>
      <c r="L74" s="50" t="s">
        <v>24</v>
      </c>
    </row>
    <row r="75" spans="2:12" ht="11.25">
      <c r="B75" s="1" t="s">
        <v>15</v>
      </c>
      <c r="C75" s="29">
        <v>0</v>
      </c>
      <c r="D75" s="29">
        <v>0</v>
      </c>
      <c r="E75" s="29">
        <v>0</v>
      </c>
      <c r="F75" s="29">
        <v>0</v>
      </c>
      <c r="G75" s="31">
        <v>0</v>
      </c>
      <c r="H75" s="30">
        <v>0</v>
      </c>
      <c r="I75" s="30">
        <v>0</v>
      </c>
      <c r="J75" s="32">
        <v>0</v>
      </c>
      <c r="K75" s="29">
        <v>0</v>
      </c>
      <c r="L75" s="50" t="s">
        <v>24</v>
      </c>
    </row>
    <row r="76" spans="2:12" ht="11.25">
      <c r="B76" s="1" t="s">
        <v>16</v>
      </c>
      <c r="C76" s="29">
        <f>(C22/G22)-1</f>
        <v>-0.2115405760342759</v>
      </c>
      <c r="D76" s="29">
        <f>(D22/H22)-1</f>
        <v>-0.23999631459758797</v>
      </c>
      <c r="E76" s="29">
        <f>(E22/I22)-1</f>
        <v>-0.02802093716488485</v>
      </c>
      <c r="F76" s="29">
        <f>+(F22/J22)-1</f>
        <v>-0.1627557621669954</v>
      </c>
      <c r="G76" s="31">
        <f>+(G22/K22)-1</f>
        <v>-0.1298662975852941</v>
      </c>
      <c r="H76" s="30">
        <f>+(H22/1800161)-1</f>
        <v>0.14555864725432888</v>
      </c>
      <c r="I76" s="30">
        <f>+(I22/1708166)-1</f>
        <v>-0.008616258607184513</v>
      </c>
      <c r="J76" s="32">
        <f>+(J22/1409469)-1</f>
        <v>0.4981046053513769</v>
      </c>
      <c r="K76" s="29">
        <f>+(K22/L22)-1</f>
        <v>0.22356363339817875</v>
      </c>
      <c r="L76" s="50" t="s">
        <v>24</v>
      </c>
    </row>
    <row r="77" spans="1:12" ht="11.25">
      <c r="A77" s="1" t="s">
        <v>68</v>
      </c>
      <c r="C77" s="29">
        <f>(C25/G25)-1</f>
        <v>-0.9112005683163628</v>
      </c>
      <c r="D77" s="29">
        <f>(D25/H25)-1</f>
        <v>0.37821635457362257</v>
      </c>
      <c r="E77" s="29">
        <f>(E25/I25)-1</f>
        <v>0.23349650349650353</v>
      </c>
      <c r="F77" s="30">
        <f>+(F25/J25)-1</f>
        <v>-1.4852672453174967</v>
      </c>
      <c r="G77" s="31">
        <f>+(G25/K25)-1</f>
        <v>0.614991156365027</v>
      </c>
      <c r="H77" s="30">
        <f>+(H25/22591)-1</f>
        <v>-0.342835642512505</v>
      </c>
      <c r="I77" s="30">
        <f>+(I25/9294)-1</f>
        <v>0.5386270712287498</v>
      </c>
      <c r="J77" s="32">
        <f>+(J25/6583)-1</f>
        <v>0.33009266291964146</v>
      </c>
      <c r="K77" s="30">
        <f>+(K25/L25)-1</f>
        <v>0.34207993841021356</v>
      </c>
      <c r="L77" s="50" t="s">
        <v>24</v>
      </c>
    </row>
    <row r="78" spans="1:12" ht="11.25">
      <c r="A78" s="2" t="s">
        <v>69</v>
      </c>
      <c r="B78" s="2"/>
      <c r="C78" s="33">
        <f>(C40/G40)-1</f>
        <v>-0.2960990028258681</v>
      </c>
      <c r="D78" s="33">
        <f>(D40/H40)-1</f>
        <v>0.4738352464550979</v>
      </c>
      <c r="E78" s="33">
        <f>(E40/I40)-1</f>
        <v>0.2954867256637168</v>
      </c>
      <c r="F78" s="33">
        <f>+(F40/J40)-1</f>
        <v>-0.6203961084086171</v>
      </c>
      <c r="G78" s="34">
        <f>+(G40/K40)-1</f>
        <v>0.7280534351145038</v>
      </c>
      <c r="H78" s="33">
        <f>+(H40/13298)-1</f>
        <v>-0.10903895322604906</v>
      </c>
      <c r="I78" s="33">
        <f>+(I40/6194)-1</f>
        <v>0.8243461414271875</v>
      </c>
      <c r="J78" s="35">
        <f>+(J40/3584)-1</f>
        <v>0.6060267857142858</v>
      </c>
      <c r="K78" s="33">
        <f>+(K40/L40)-1</f>
        <v>0.5508356545961002</v>
      </c>
      <c r="L78" s="51" t="s">
        <v>24</v>
      </c>
    </row>
  </sheetData>
  <sheetProtection password="CD66" sheet="1" objects="1" scenarios="1"/>
  <mergeCells count="3">
    <mergeCell ref="G8:J8"/>
    <mergeCell ref="K8:L8"/>
    <mergeCell ref="C8:F8"/>
  </mergeCells>
  <printOptions horizontalCentered="1" verticalCentered="1"/>
  <pageMargins left="0.75" right="0.75" top="1" bottom="1" header="0" footer="0"/>
  <pageSetup horizontalDpi="300" verticalDpi="300" orientation="landscape" r:id="rId3"/>
  <legacyDrawing r:id="rId2"/>
  <oleObjects>
    <oleObject progId="MSPhotoEd.3" shapeId="114347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2002-03-19T18:12:50Z</dcterms:created>
  <dcterms:modified xsi:type="dcterms:W3CDTF">2002-07-12T14:10:51Z</dcterms:modified>
  <cp:category/>
  <cp:version/>
  <cp:contentType/>
  <cp:contentStatus/>
</cp:coreProperties>
</file>