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rov. B.Aires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<sst xmlns="http://schemas.openxmlformats.org/spreadsheetml/2006/main" count="84" uniqueCount="68">
  <si>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19-18</t>
  </si>
  <si>
    <t>BANCO DE LA PROVINCIA DE BUENOS AIRES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</si>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</sst>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43" fontId="2" fillId="0" borderId="1" xfId="15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2" fillId="0" borderId="0" xfId="0" applyFont="1" applyFill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11.421875" defaultRowHeight="12.75"/>
  <cols>
    <col min="1" max="1" width="3.57421875" style="1" customWidth="1"/>
    <col min="2" max="2" width="40.28125" style="1" customWidth="1"/>
    <col min="3" max="3" width="8.57421875" style="1" customWidth="1"/>
    <col min="4" max="4" width="10.00390625" style="1" customWidth="1"/>
    <col min="5" max="6" width="7.7109375" style="1" bestFit="1" customWidth="1"/>
    <col min="7" max="7" width="8.7109375" style="1" customWidth="1"/>
    <col min="8" max="8" width="10.42187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3"/>
      <c r="C2" s="43"/>
      <c r="D2" s="43"/>
      <c r="E2" s="43"/>
      <c r="F2" s="43" t="s">
        <v>0</v>
      </c>
      <c r="H2" s="43"/>
      <c r="I2" s="43"/>
      <c r="J2" s="43"/>
      <c r="K2" s="43"/>
      <c r="L2" s="43"/>
    </row>
    <row r="3" spans="2:12" ht="11.25">
      <c r="B3" s="43"/>
      <c r="C3" s="43"/>
      <c r="D3" s="43"/>
      <c r="E3" s="43"/>
      <c r="F3" s="43" t="s">
        <v>1</v>
      </c>
      <c r="H3" s="43"/>
      <c r="I3" s="43"/>
      <c r="J3" s="43"/>
      <c r="K3" s="43"/>
      <c r="L3" s="43"/>
    </row>
    <row r="4" spans="2:12" ht="11.25">
      <c r="B4" s="43"/>
      <c r="C4" s="43"/>
      <c r="D4" s="43"/>
      <c r="E4" s="43"/>
      <c r="F4" s="43" t="s">
        <v>2</v>
      </c>
      <c r="H4" s="43"/>
      <c r="I4" s="43"/>
      <c r="J4" s="43"/>
      <c r="K4" s="43"/>
      <c r="L4" s="43"/>
    </row>
    <row r="5" spans="2:12" ht="11.25">
      <c r="B5" s="42"/>
      <c r="C5" s="42"/>
      <c r="D5" s="42"/>
      <c r="E5" s="42"/>
      <c r="F5" s="42" t="s">
        <v>3</v>
      </c>
      <c r="H5" s="42"/>
      <c r="I5" s="42"/>
      <c r="J5" s="42"/>
      <c r="K5" s="42"/>
      <c r="L5" s="42"/>
    </row>
    <row r="6" spans="1:12" ht="11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s="4" customFormat="1" ht="11.25">
      <c r="A9" s="44"/>
      <c r="B9" s="44"/>
      <c r="C9" s="45" t="s">
        <v>5</v>
      </c>
      <c r="D9" s="45" t="s">
        <v>6</v>
      </c>
      <c r="E9" s="44" t="s">
        <v>7</v>
      </c>
      <c r="F9" s="44" t="s">
        <v>8</v>
      </c>
      <c r="G9" s="46" t="s">
        <v>5</v>
      </c>
      <c r="H9" s="45" t="s">
        <v>6</v>
      </c>
      <c r="I9" s="45" t="s">
        <v>7</v>
      </c>
      <c r="J9" s="47" t="s">
        <v>8</v>
      </c>
      <c r="K9" s="48" t="s">
        <v>9</v>
      </c>
      <c r="L9" s="48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869593</v>
      </c>
      <c r="D11" s="9">
        <v>685073</v>
      </c>
      <c r="E11" s="9">
        <v>412246</v>
      </c>
      <c r="F11" s="9">
        <v>362125</v>
      </c>
      <c r="G11" s="10">
        <v>397550</v>
      </c>
      <c r="H11" s="11">
        <v>394342</v>
      </c>
      <c r="I11" s="11">
        <v>424700</v>
      </c>
      <c r="J11" s="12">
        <v>478976</v>
      </c>
      <c r="K11" s="9">
        <v>467772</v>
      </c>
      <c r="L11" s="9">
        <v>435205</v>
      </c>
    </row>
    <row r="12" spans="1:12" ht="11.25">
      <c r="A12" s="1" t="s">
        <v>13</v>
      </c>
      <c r="C12" s="9">
        <v>473718</v>
      </c>
      <c r="D12" s="9">
        <v>385638</v>
      </c>
      <c r="E12" s="9">
        <v>255972</v>
      </c>
      <c r="F12" s="9">
        <v>246279</v>
      </c>
      <c r="G12" s="10">
        <v>281606</v>
      </c>
      <c r="H12" s="11">
        <v>272994</v>
      </c>
      <c r="I12" s="11">
        <v>287606</v>
      </c>
      <c r="J12" s="12">
        <v>296544</v>
      </c>
      <c r="K12" s="9">
        <v>255930</v>
      </c>
      <c r="L12" s="9">
        <v>136583</v>
      </c>
    </row>
    <row r="13" spans="1:12" ht="11.25">
      <c r="A13" s="1" t="s">
        <v>14</v>
      </c>
      <c r="C13" s="9">
        <f aca="true" t="shared" si="0" ref="C13:L13">C14+C15</f>
        <v>69543</v>
      </c>
      <c r="D13" s="9">
        <f t="shared" si="0"/>
        <v>43541</v>
      </c>
      <c r="E13" s="9">
        <f t="shared" si="0"/>
        <v>39821</v>
      </c>
      <c r="F13" s="9">
        <f t="shared" si="0"/>
        <v>41372</v>
      </c>
      <c r="G13" s="10">
        <f t="shared" si="0"/>
        <v>40308</v>
      </c>
      <c r="H13" s="11">
        <f t="shared" si="0"/>
        <v>43778</v>
      </c>
      <c r="I13" s="11">
        <f t="shared" si="0"/>
        <v>40341</v>
      </c>
      <c r="J13" s="12">
        <f t="shared" si="0"/>
        <v>77703</v>
      </c>
      <c r="K13" s="9">
        <f t="shared" si="0"/>
        <v>76115</v>
      </c>
      <c r="L13" s="9">
        <f t="shared" si="0"/>
        <v>168456</v>
      </c>
    </row>
    <row r="14" spans="2:12" ht="11.25">
      <c r="B14" s="1" t="s">
        <v>15</v>
      </c>
      <c r="D14" s="9">
        <v>0</v>
      </c>
      <c r="E14" s="9">
        <v>0</v>
      </c>
      <c r="F14" s="9">
        <v>0</v>
      </c>
      <c r="G14" s="10"/>
      <c r="H14" s="11"/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69543</v>
      </c>
      <c r="D15" s="9">
        <v>43541</v>
      </c>
      <c r="E15" s="9">
        <v>39821</v>
      </c>
      <c r="F15" s="9">
        <v>41372</v>
      </c>
      <c r="G15" s="10">
        <v>40308</v>
      </c>
      <c r="H15" s="11">
        <v>43778</v>
      </c>
      <c r="I15" s="11">
        <v>40341</v>
      </c>
      <c r="J15" s="12">
        <v>77703</v>
      </c>
      <c r="K15" s="9">
        <v>76115</v>
      </c>
      <c r="L15" s="9">
        <v>168456</v>
      </c>
    </row>
    <row r="16" spans="1:12" ht="11.25">
      <c r="A16" s="1" t="s">
        <v>17</v>
      </c>
      <c r="C16" s="9">
        <v>308401</v>
      </c>
      <c r="D16" s="9">
        <v>236328</v>
      </c>
      <c r="E16" s="9">
        <v>94515</v>
      </c>
      <c r="F16" s="9">
        <v>50643</v>
      </c>
      <c r="G16" s="10">
        <v>51725</v>
      </c>
      <c r="H16" s="11">
        <v>55527</v>
      </c>
      <c r="I16" s="11">
        <v>71799</v>
      </c>
      <c r="J16" s="12">
        <v>79731</v>
      </c>
      <c r="K16" s="9">
        <v>108529</v>
      </c>
      <c r="L16" s="9">
        <v>114453</v>
      </c>
    </row>
    <row r="17" spans="1:12" ht="11.25">
      <c r="A17" s="1" t="s">
        <v>18</v>
      </c>
      <c r="C17" s="9">
        <f aca="true" t="shared" si="1" ref="C17:L17">C18+C22</f>
        <v>667317</v>
      </c>
      <c r="D17" s="9">
        <f t="shared" si="1"/>
        <v>470970</v>
      </c>
      <c r="E17" s="9">
        <f t="shared" si="1"/>
        <v>182263</v>
      </c>
      <c r="F17" s="9">
        <f t="shared" si="1"/>
        <v>136303</v>
      </c>
      <c r="G17" s="10">
        <f t="shared" si="1"/>
        <v>157284</v>
      </c>
      <c r="H17" s="11">
        <f t="shared" si="1"/>
        <v>171378</v>
      </c>
      <c r="I17" s="11">
        <f t="shared" si="1"/>
        <v>198310</v>
      </c>
      <c r="J17" s="12">
        <f t="shared" si="1"/>
        <v>227215</v>
      </c>
      <c r="K17" s="9">
        <f t="shared" si="1"/>
        <v>218443</v>
      </c>
      <c r="L17" s="9">
        <f t="shared" si="1"/>
        <v>206002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667317</v>
      </c>
      <c r="D22" s="9">
        <f t="shared" si="3"/>
        <v>470970</v>
      </c>
      <c r="E22" s="9">
        <f t="shared" si="3"/>
        <v>182263</v>
      </c>
      <c r="F22" s="9">
        <f t="shared" si="3"/>
        <v>136303</v>
      </c>
      <c r="G22" s="10">
        <f t="shared" si="3"/>
        <v>157284</v>
      </c>
      <c r="H22" s="11">
        <f t="shared" si="3"/>
        <v>171378</v>
      </c>
      <c r="I22" s="11">
        <f t="shared" si="3"/>
        <v>198310</v>
      </c>
      <c r="J22" s="12">
        <f t="shared" si="3"/>
        <v>227215</v>
      </c>
      <c r="K22" s="9">
        <f t="shared" si="3"/>
        <v>218443</v>
      </c>
      <c r="L22" s="9">
        <f t="shared" si="3"/>
        <v>206002</v>
      </c>
    </row>
    <row r="23" spans="2:12" ht="11.25">
      <c r="B23" s="1" t="s">
        <v>20</v>
      </c>
      <c r="C23" s="9">
        <v>3768</v>
      </c>
      <c r="D23" s="9">
        <v>2066</v>
      </c>
      <c r="E23" s="9">
        <v>3813</v>
      </c>
      <c r="F23" s="9">
        <v>3996</v>
      </c>
      <c r="G23" s="10">
        <f>4407+1600</f>
        <v>6007</v>
      </c>
      <c r="H23" s="11">
        <v>4061</v>
      </c>
      <c r="I23" s="11">
        <v>3493</v>
      </c>
      <c r="J23" s="12">
        <v>3529</v>
      </c>
      <c r="K23" s="9">
        <v>3422</v>
      </c>
      <c r="L23" s="9">
        <v>1113</v>
      </c>
    </row>
    <row r="24" spans="2:12" ht="11.25">
      <c r="B24" s="1" t="s">
        <v>21</v>
      </c>
      <c r="C24" s="9">
        <f>303657+82+64168+295642</f>
        <v>663549</v>
      </c>
      <c r="D24" s="9">
        <f>33972+200676+44+234212</f>
        <v>468904</v>
      </c>
      <c r="E24" s="9">
        <v>178450</v>
      </c>
      <c r="F24" s="9">
        <v>132307</v>
      </c>
      <c r="G24" s="10">
        <f>44127+107150</f>
        <v>151277</v>
      </c>
      <c r="H24" s="11">
        <v>167317</v>
      </c>
      <c r="I24" s="11">
        <v>194817</v>
      </c>
      <c r="J24" s="12">
        <v>223686</v>
      </c>
      <c r="K24" s="9">
        <v>215021</v>
      </c>
      <c r="L24" s="9">
        <v>204889</v>
      </c>
    </row>
    <row r="25" spans="1:12" ht="11.25">
      <c r="A25" s="2" t="s">
        <v>22</v>
      </c>
      <c r="B25" s="2"/>
      <c r="C25" s="13">
        <v>115315</v>
      </c>
      <c r="D25" s="13">
        <v>122552</v>
      </c>
      <c r="E25" s="13">
        <v>110932</v>
      </c>
      <c r="F25" s="13">
        <v>110820</v>
      </c>
      <c r="G25" s="14">
        <v>108667</v>
      </c>
      <c r="H25" s="13">
        <v>106983</v>
      </c>
      <c r="I25" s="13">
        <v>104175</v>
      </c>
      <c r="J25" s="15">
        <v>101192</v>
      </c>
      <c r="K25" s="13">
        <v>97783</v>
      </c>
      <c r="L25" s="13">
        <v>84150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633571.5</v>
      </c>
      <c r="D27" s="9">
        <f>(D11+H11)/2</f>
        <v>539707.5</v>
      </c>
      <c r="E27" s="9">
        <f>(E11+I11)/2</f>
        <v>418473</v>
      </c>
      <c r="F27" s="9">
        <f>+(F11+J11)/2</f>
        <v>420550.5</v>
      </c>
      <c r="G27" s="10">
        <f>+(G11+K11)/2</f>
        <v>432661</v>
      </c>
      <c r="H27" s="11">
        <f>+(408315+H11)/2</f>
        <v>401328.5</v>
      </c>
      <c r="I27" s="11">
        <f>+(424004+I11)/2</f>
        <v>424352</v>
      </c>
      <c r="J27" s="12">
        <f>+(445249+J11)/2</f>
        <v>462112.5</v>
      </c>
      <c r="K27" s="9">
        <f>(K11+L11)/2</f>
        <v>451488.5</v>
      </c>
      <c r="L27" s="9">
        <f>(L11+435114)/2</f>
        <v>435159.5</v>
      </c>
    </row>
    <row r="28" spans="1:12" ht="11.25">
      <c r="A28" s="1" t="s">
        <v>24</v>
      </c>
      <c r="C28" s="9">
        <f aca="true" t="shared" si="4" ref="C28:L28">C29+C30</f>
        <v>234988.5</v>
      </c>
      <c r="D28" s="9">
        <f t="shared" si="4"/>
        <v>189587</v>
      </c>
      <c r="E28" s="9">
        <f t="shared" si="4"/>
        <v>123238</v>
      </c>
      <c r="F28" s="9">
        <f t="shared" si="4"/>
        <v>124724.5</v>
      </c>
      <c r="G28" s="10">
        <f t="shared" si="4"/>
        <v>138338.5</v>
      </c>
      <c r="H28" s="11">
        <f t="shared" si="4"/>
        <v>133232</v>
      </c>
      <c r="I28" s="11">
        <f t="shared" si="4"/>
        <v>163783</v>
      </c>
      <c r="J28" s="12">
        <f t="shared" si="4"/>
        <v>194762</v>
      </c>
      <c r="K28" s="9">
        <f t="shared" si="4"/>
        <v>233776.5</v>
      </c>
      <c r="L28" s="9">
        <f t="shared" si="4"/>
        <v>209157</v>
      </c>
    </row>
    <row r="29" spans="2:12" ht="11.25">
      <c r="B29" s="1" t="s">
        <v>14</v>
      </c>
      <c r="C29" s="9">
        <f>(C13+G13)/2</f>
        <v>54925.5</v>
      </c>
      <c r="D29" s="9">
        <f>(D13+H13)/2</f>
        <v>43659.5</v>
      </c>
      <c r="E29" s="9">
        <f>(E13+I13)/2</f>
        <v>40081</v>
      </c>
      <c r="F29" s="9">
        <f>+(F13+J13)/2</f>
        <v>59537.5</v>
      </c>
      <c r="G29" s="10">
        <f>+(G13+K13)/2</f>
        <v>58211.5</v>
      </c>
      <c r="H29" s="11">
        <f>+(64197+H13)/2</f>
        <v>53987.5</v>
      </c>
      <c r="I29" s="11">
        <f>+(112882+I13)/2</f>
        <v>76611.5</v>
      </c>
      <c r="J29" s="12">
        <f>+(126003+J13)/2</f>
        <v>101853</v>
      </c>
      <c r="K29" s="9">
        <f>(K13+L13)/2</f>
        <v>122285.5</v>
      </c>
      <c r="L29" s="9">
        <f>(L13+30387)/2</f>
        <v>99421.5</v>
      </c>
    </row>
    <row r="30" spans="2:12" ht="11.25">
      <c r="B30" s="1" t="s">
        <v>17</v>
      </c>
      <c r="C30" s="9">
        <f>(C16+G16)/2</f>
        <v>180063</v>
      </c>
      <c r="D30" s="9">
        <f>(D16+H16)/2</f>
        <v>145927.5</v>
      </c>
      <c r="E30" s="9">
        <f>(E16+I16)/2</f>
        <v>83157</v>
      </c>
      <c r="F30" s="9">
        <f>+(F16+J16)/2</f>
        <v>65187</v>
      </c>
      <c r="G30" s="10">
        <f>+(G16+K16)/2</f>
        <v>80127</v>
      </c>
      <c r="H30" s="11">
        <f>+(102962+H16)/2</f>
        <v>79244.5</v>
      </c>
      <c r="I30" s="11">
        <f>+(102544+I16)/2</f>
        <v>87171.5</v>
      </c>
      <c r="J30" s="12">
        <f>+(106087+J16)/2</f>
        <v>92909</v>
      </c>
      <c r="K30" s="9">
        <f>(K16+L16)/2</f>
        <v>111491</v>
      </c>
      <c r="L30" s="9">
        <f>(L16+105018)/2</f>
        <v>109735.5</v>
      </c>
    </row>
    <row r="31" spans="1:12" ht="11.25">
      <c r="A31" s="2" t="s">
        <v>22</v>
      </c>
      <c r="B31" s="2"/>
      <c r="C31" s="13">
        <f>(C25+G25)/2</f>
        <v>111991</v>
      </c>
      <c r="D31" s="13">
        <f>(D25+H25)/2</f>
        <v>114767.5</v>
      </c>
      <c r="E31" s="13">
        <f>(E25+I25)/2</f>
        <v>107553.5</v>
      </c>
      <c r="F31" s="13">
        <f>+(F25+J25)/2</f>
        <v>106006</v>
      </c>
      <c r="G31" s="14">
        <f>+(G25+K25)/2</f>
        <v>103225</v>
      </c>
      <c r="H31" s="13">
        <f>+(93117+H25)/2</f>
        <v>100050</v>
      </c>
      <c r="I31" s="13">
        <f>+(89931+I25)/2</f>
        <v>97053</v>
      </c>
      <c r="J31" s="15">
        <f>+(87045+J25)/2</f>
        <v>94118.5</v>
      </c>
      <c r="K31" s="13">
        <f>(K25+L25)/2</f>
        <v>90966.5</v>
      </c>
      <c r="L31" s="13">
        <f>(L25+72661)/2</f>
        <v>78405.5</v>
      </c>
    </row>
    <row r="32" spans="1:10" ht="11.25">
      <c r="A32" s="4" t="s">
        <v>25</v>
      </c>
      <c r="F32" s="9"/>
      <c r="G32" s="16"/>
      <c r="H32" s="17"/>
      <c r="I32" s="17"/>
      <c r="J32" s="18"/>
    </row>
    <row r="33" spans="1:12" ht="11.25">
      <c r="A33" s="1" t="s">
        <v>26</v>
      </c>
      <c r="C33" s="9">
        <v>24120</v>
      </c>
      <c r="D33" s="9">
        <v>18542</v>
      </c>
      <c r="E33" s="9">
        <v>12573</v>
      </c>
      <c r="F33" s="9">
        <v>6796</v>
      </c>
      <c r="G33" s="10">
        <v>33210</v>
      </c>
      <c r="H33" s="11">
        <v>25424</v>
      </c>
      <c r="I33" s="11">
        <v>17308</v>
      </c>
      <c r="J33" s="12">
        <v>8967</v>
      </c>
      <c r="K33" s="9">
        <v>28945</v>
      </c>
      <c r="L33" s="9">
        <v>28687</v>
      </c>
    </row>
    <row r="34" spans="1:12" ht="11.25">
      <c r="A34" s="1" t="s">
        <v>27</v>
      </c>
      <c r="C34" s="9">
        <v>16722</v>
      </c>
      <c r="D34" s="9">
        <v>12578</v>
      </c>
      <c r="E34" s="9">
        <v>8295</v>
      </c>
      <c r="F34" s="9">
        <v>4508</v>
      </c>
      <c r="G34" s="10">
        <v>20940</v>
      </c>
      <c r="H34" s="11">
        <v>15715</v>
      </c>
      <c r="I34" s="11">
        <v>10601</v>
      </c>
      <c r="J34" s="12">
        <v>5500</v>
      </c>
      <c r="K34" s="9">
        <v>15755</v>
      </c>
      <c r="L34" s="9">
        <v>17757</v>
      </c>
    </row>
    <row r="35" spans="1:12" ht="11.25">
      <c r="A35" s="1" t="s">
        <v>28</v>
      </c>
      <c r="C35" s="9">
        <f>+C33-C34</f>
        <v>7398</v>
      </c>
      <c r="D35" s="9">
        <f aca="true" t="shared" si="5" ref="D35:L35">D33-D34</f>
        <v>5964</v>
      </c>
      <c r="E35" s="9">
        <f t="shared" si="5"/>
        <v>4278</v>
      </c>
      <c r="F35" s="9">
        <f t="shared" si="5"/>
        <v>2288</v>
      </c>
      <c r="G35" s="10">
        <f t="shared" si="5"/>
        <v>12270</v>
      </c>
      <c r="H35" s="11">
        <f t="shared" si="5"/>
        <v>9709</v>
      </c>
      <c r="I35" s="11">
        <f t="shared" si="5"/>
        <v>6707</v>
      </c>
      <c r="J35" s="12">
        <f t="shared" si="5"/>
        <v>3467</v>
      </c>
      <c r="K35" s="9">
        <f t="shared" si="5"/>
        <v>13190</v>
      </c>
      <c r="L35" s="9">
        <f t="shared" si="5"/>
        <v>10930</v>
      </c>
    </row>
    <row r="36" spans="1:12" ht="11.25">
      <c r="A36" s="1" t="s">
        <v>29</v>
      </c>
      <c r="C36" s="9">
        <v>49482</v>
      </c>
      <c r="D36" s="9">
        <v>19482</v>
      </c>
      <c r="E36" s="9">
        <v>1774</v>
      </c>
      <c r="F36" s="9">
        <v>355</v>
      </c>
      <c r="G36" s="10">
        <v>2301</v>
      </c>
      <c r="H36" s="11">
        <v>2212</v>
      </c>
      <c r="I36" s="11">
        <v>1741</v>
      </c>
      <c r="J36" s="12">
        <v>1457</v>
      </c>
      <c r="K36" s="9">
        <v>10213</v>
      </c>
      <c r="L36" s="9">
        <v>1396</v>
      </c>
    </row>
    <row r="37" spans="1:12" ht="11.25">
      <c r="A37" s="1" t="s">
        <v>30</v>
      </c>
      <c r="C37" s="9">
        <f>+C36+C35</f>
        <v>56880</v>
      </c>
      <c r="D37" s="9">
        <f aca="true" t="shared" si="6" ref="D37:L37">D35+D36</f>
        <v>25446</v>
      </c>
      <c r="E37" s="9">
        <f t="shared" si="6"/>
        <v>6052</v>
      </c>
      <c r="F37" s="9">
        <f t="shared" si="6"/>
        <v>2643</v>
      </c>
      <c r="G37" s="10">
        <f t="shared" si="6"/>
        <v>14571</v>
      </c>
      <c r="H37" s="11">
        <f t="shared" si="6"/>
        <v>11921</v>
      </c>
      <c r="I37" s="11">
        <f t="shared" si="6"/>
        <v>8448</v>
      </c>
      <c r="J37" s="12">
        <f t="shared" si="6"/>
        <v>4924</v>
      </c>
      <c r="K37" s="9">
        <f t="shared" si="6"/>
        <v>23403</v>
      </c>
      <c r="L37" s="9">
        <f t="shared" si="6"/>
        <v>12326</v>
      </c>
    </row>
    <row r="38" spans="1:12" ht="11.25">
      <c r="A38" s="1" t="s">
        <v>31</v>
      </c>
      <c r="C38" s="9">
        <v>50230</v>
      </c>
      <c r="D38" s="9">
        <v>11562</v>
      </c>
      <c r="E38" s="9">
        <v>3786</v>
      </c>
      <c r="F38" s="9">
        <v>490</v>
      </c>
      <c r="G38" s="10">
        <v>3687</v>
      </c>
      <c r="H38" s="11">
        <v>2719</v>
      </c>
      <c r="I38" s="11">
        <v>2055</v>
      </c>
      <c r="J38" s="12">
        <v>1513</v>
      </c>
      <c r="K38" s="9">
        <v>9772</v>
      </c>
      <c r="L38" s="9">
        <v>2561</v>
      </c>
    </row>
    <row r="39" spans="1:12" ht="11.25">
      <c r="A39" s="1" t="s">
        <v>32</v>
      </c>
      <c r="C39" s="9">
        <f>+C37-C38</f>
        <v>6650</v>
      </c>
      <c r="D39" s="9">
        <f aca="true" t="shared" si="7" ref="D39:L39">D37-D38</f>
        <v>13884</v>
      </c>
      <c r="E39" s="9">
        <f t="shared" si="7"/>
        <v>2266</v>
      </c>
      <c r="F39" s="9">
        <f t="shared" si="7"/>
        <v>2153</v>
      </c>
      <c r="G39" s="10">
        <f t="shared" si="7"/>
        <v>10884</v>
      </c>
      <c r="H39" s="11">
        <f t="shared" si="7"/>
        <v>9202</v>
      </c>
      <c r="I39" s="11">
        <f t="shared" si="7"/>
        <v>6393</v>
      </c>
      <c r="J39" s="12">
        <f t="shared" si="7"/>
        <v>3411</v>
      </c>
      <c r="K39" s="9">
        <f t="shared" si="7"/>
        <v>13631</v>
      </c>
      <c r="L39" s="9">
        <f t="shared" si="7"/>
        <v>9765</v>
      </c>
    </row>
    <row r="40" spans="1:12" ht="11.25">
      <c r="A40" s="2" t="s">
        <v>33</v>
      </c>
      <c r="B40" s="2"/>
      <c r="C40" s="13">
        <v>6650</v>
      </c>
      <c r="D40" s="13">
        <v>13884</v>
      </c>
      <c r="E40" s="13">
        <v>2265</v>
      </c>
      <c r="F40" s="13">
        <v>2153</v>
      </c>
      <c r="G40" s="14">
        <v>10884</v>
      </c>
      <c r="H40" s="13">
        <v>9202</v>
      </c>
      <c r="I40" s="13">
        <v>6393</v>
      </c>
      <c r="J40" s="15">
        <v>3411</v>
      </c>
      <c r="K40" s="13">
        <v>13631</v>
      </c>
      <c r="L40" s="13">
        <v>9765</v>
      </c>
    </row>
    <row r="41" spans="1:12" ht="11.25">
      <c r="A41" s="19" t="s">
        <v>34</v>
      </c>
      <c r="B41" s="3"/>
      <c r="C41" s="17"/>
      <c r="D41" s="17"/>
      <c r="E41" s="9"/>
      <c r="F41" s="3"/>
      <c r="G41" s="20"/>
      <c r="H41" s="3"/>
      <c r="I41" s="3"/>
      <c r="J41" s="21"/>
      <c r="K41" s="3"/>
      <c r="L41" s="3"/>
    </row>
    <row r="42" spans="1:12" ht="11.25">
      <c r="A42" s="17" t="s">
        <v>35</v>
      </c>
      <c r="B42" s="17"/>
      <c r="C42" s="22">
        <v>0</v>
      </c>
      <c r="D42" s="11">
        <v>358</v>
      </c>
      <c r="E42" s="9">
        <v>319</v>
      </c>
      <c r="F42" s="11">
        <v>107</v>
      </c>
      <c r="G42" s="10">
        <v>54</v>
      </c>
      <c r="H42" s="11">
        <v>54</v>
      </c>
      <c r="I42" s="11">
        <v>54</v>
      </c>
      <c r="J42" s="12">
        <v>54</v>
      </c>
      <c r="K42" s="11">
        <v>54</v>
      </c>
      <c r="L42" s="11">
        <v>1000</v>
      </c>
    </row>
    <row r="43" spans="1:12" ht="11.25">
      <c r="A43" s="17" t="s">
        <v>36</v>
      </c>
      <c r="B43" s="17"/>
      <c r="C43" s="22">
        <v>0</v>
      </c>
      <c r="D43" s="11">
        <v>0</v>
      </c>
      <c r="E43" s="9">
        <v>400</v>
      </c>
      <c r="F43" s="11">
        <v>536</v>
      </c>
      <c r="G43" s="10">
        <v>590</v>
      </c>
      <c r="H43" s="11">
        <v>54</v>
      </c>
      <c r="I43" s="11">
        <v>27</v>
      </c>
      <c r="J43" s="12">
        <v>13</v>
      </c>
      <c r="K43" s="11">
        <v>13</v>
      </c>
      <c r="L43" s="11">
        <v>1000</v>
      </c>
    </row>
    <row r="44" spans="1:12" ht="11.25">
      <c r="A44" s="17" t="s">
        <v>37</v>
      </c>
      <c r="B44" s="17"/>
      <c r="C44" s="23">
        <f>C42/C13</f>
        <v>0</v>
      </c>
      <c r="D44" s="24">
        <f>D42/D13</f>
        <v>0.008222135458533337</v>
      </c>
      <c r="E44" s="24">
        <f>E42/E13</f>
        <v>0.00801084854724894</v>
      </c>
      <c r="F44" s="25">
        <f aca="true" t="shared" si="8" ref="F44:L44">+F42/F13</f>
        <v>0.002586290244609881</v>
      </c>
      <c r="G44" s="26">
        <f t="shared" si="8"/>
        <v>0.0013396844298898482</v>
      </c>
      <c r="H44" s="25">
        <f t="shared" si="8"/>
        <v>0.0012334962766686463</v>
      </c>
      <c r="I44" s="25">
        <f t="shared" si="8"/>
        <v>0.0013385885327582361</v>
      </c>
      <c r="J44" s="27">
        <f t="shared" si="8"/>
        <v>0.0006949538627852207</v>
      </c>
      <c r="K44" s="25">
        <f t="shared" si="8"/>
        <v>0.0007094528016816659</v>
      </c>
      <c r="L44" s="25">
        <f t="shared" si="8"/>
        <v>0.005936268224343449</v>
      </c>
    </row>
    <row r="45" spans="1:12" ht="11.25">
      <c r="A45" s="17" t="s">
        <v>38</v>
      </c>
      <c r="B45" s="17"/>
      <c r="C45" s="23">
        <v>0</v>
      </c>
      <c r="D45" s="23">
        <f>D43/D42</f>
        <v>0</v>
      </c>
      <c r="E45" s="24">
        <f>E43/E42</f>
        <v>1.2539184952978057</v>
      </c>
      <c r="F45" s="25">
        <f aca="true" t="shared" si="9" ref="F45:L45">+F43/F42</f>
        <v>5.009345794392523</v>
      </c>
      <c r="G45" s="26">
        <f t="shared" si="9"/>
        <v>10.925925925925926</v>
      </c>
      <c r="H45" s="25">
        <f t="shared" si="9"/>
        <v>1</v>
      </c>
      <c r="I45" s="25">
        <f t="shared" si="9"/>
        <v>0.5</v>
      </c>
      <c r="J45" s="27">
        <f t="shared" si="9"/>
        <v>0.24074074074074073</v>
      </c>
      <c r="K45" s="25">
        <f t="shared" si="9"/>
        <v>0.24074074074074073</v>
      </c>
      <c r="L45" s="25">
        <f t="shared" si="9"/>
        <v>1</v>
      </c>
    </row>
    <row r="46" spans="1:12" ht="11.25">
      <c r="A46" s="2" t="s">
        <v>39</v>
      </c>
      <c r="B46" s="2"/>
      <c r="C46" s="28">
        <f>C43/C13</f>
        <v>0</v>
      </c>
      <c r="D46" s="28">
        <f>D43/D13</f>
        <v>0</v>
      </c>
      <c r="E46" s="29">
        <f>E43/E13</f>
        <v>0.010044951156425001</v>
      </c>
      <c r="F46" s="29">
        <f>+F43/F13</f>
        <v>0.012955622159914918</v>
      </c>
      <c r="G46" s="30">
        <f>+G43/G13</f>
        <v>0.014637292845092785</v>
      </c>
      <c r="H46" s="29">
        <f>54/H13</f>
        <v>0.0012334962766686463</v>
      </c>
      <c r="I46" s="29">
        <f>27/I13</f>
        <v>0.0006692942663791181</v>
      </c>
      <c r="J46" s="31">
        <f>13/J13</f>
        <v>0.00016730370770755312</v>
      </c>
      <c r="K46" s="29">
        <f>13/K13</f>
        <v>0.0001707941929974381</v>
      </c>
      <c r="L46" s="29">
        <f>1000/L13</f>
        <v>0.005936268224343449</v>
      </c>
    </row>
    <row r="47" spans="1:12" ht="11.25">
      <c r="A47" s="4" t="s">
        <v>40</v>
      </c>
      <c r="C47" s="3"/>
      <c r="D47" s="3"/>
      <c r="E47" s="3"/>
      <c r="F47" s="3"/>
      <c r="G47" s="20"/>
      <c r="H47" s="3"/>
      <c r="I47" s="3"/>
      <c r="J47" s="21"/>
      <c r="K47" s="3"/>
      <c r="L47" s="3"/>
    </row>
    <row r="48" spans="1:12" s="32" customFormat="1" ht="11.25">
      <c r="A48" s="32" t="s">
        <v>41</v>
      </c>
      <c r="C48" s="33">
        <f aca="true" t="shared" si="10" ref="C48:L48">C25/C13</f>
        <v>1.6581827071020807</v>
      </c>
      <c r="D48" s="33">
        <f t="shared" si="10"/>
        <v>2.8146344824418366</v>
      </c>
      <c r="E48" s="33">
        <f t="shared" si="10"/>
        <v>2.7857663042113456</v>
      </c>
      <c r="F48" s="34">
        <f t="shared" si="10"/>
        <v>2.6786232234361402</v>
      </c>
      <c r="G48" s="33">
        <f t="shared" si="10"/>
        <v>2.6959164433859284</v>
      </c>
      <c r="H48" s="33">
        <f t="shared" si="10"/>
        <v>2.4437617067933664</v>
      </c>
      <c r="I48" s="33">
        <f t="shared" si="10"/>
        <v>2.5823603777794304</v>
      </c>
      <c r="J48" s="34">
        <f t="shared" si="10"/>
        <v>1.3022920607955935</v>
      </c>
      <c r="K48" s="33">
        <f t="shared" si="10"/>
        <v>1.2846745056821913</v>
      </c>
      <c r="L48" s="33">
        <f t="shared" si="10"/>
        <v>0.4995369710785012</v>
      </c>
    </row>
    <row r="49" spans="1:12" s="32" customFormat="1" ht="11.25">
      <c r="A49" s="35" t="s">
        <v>42</v>
      </c>
      <c r="B49" s="35"/>
      <c r="C49" s="36">
        <f aca="true" t="shared" si="11" ref="C49:L49">C25/(C13+C16)</f>
        <v>0.30511133924602585</v>
      </c>
      <c r="D49" s="36">
        <f t="shared" si="11"/>
        <v>0.43789058452347346</v>
      </c>
      <c r="E49" s="36">
        <f t="shared" si="11"/>
        <v>0.8257801333968556</v>
      </c>
      <c r="F49" s="37">
        <f t="shared" si="11"/>
        <v>1.2043688529044179</v>
      </c>
      <c r="G49" s="36">
        <f t="shared" si="11"/>
        <v>1.1807395173470385</v>
      </c>
      <c r="H49" s="36">
        <f t="shared" si="11"/>
        <v>1.0773173556215698</v>
      </c>
      <c r="I49" s="36">
        <f t="shared" si="11"/>
        <v>0.9289727126805778</v>
      </c>
      <c r="J49" s="37">
        <f t="shared" si="11"/>
        <v>0.6427582351969714</v>
      </c>
      <c r="K49" s="36">
        <f t="shared" si="11"/>
        <v>0.5295758324126427</v>
      </c>
      <c r="L49" s="36">
        <f t="shared" si="11"/>
        <v>0.29744546833080604</v>
      </c>
    </row>
    <row r="50" spans="1:10" ht="11.25">
      <c r="A50" s="4" t="s">
        <v>43</v>
      </c>
      <c r="G50" s="16"/>
      <c r="H50" s="17"/>
      <c r="I50" s="17"/>
      <c r="J50" s="18"/>
    </row>
    <row r="51" spans="1:12" ht="11.25">
      <c r="A51" s="1" t="s">
        <v>44</v>
      </c>
      <c r="C51" s="38">
        <f aca="true" t="shared" si="12" ref="C51:L51">C12/C17</f>
        <v>0.709884507662775</v>
      </c>
      <c r="D51" s="38">
        <f t="shared" si="12"/>
        <v>0.8188164851264412</v>
      </c>
      <c r="E51" s="38">
        <f t="shared" si="12"/>
        <v>1.40441011066426</v>
      </c>
      <c r="F51" s="24">
        <f t="shared" si="12"/>
        <v>1.806849445720197</v>
      </c>
      <c r="G51" s="26">
        <f t="shared" si="12"/>
        <v>1.7904300501004553</v>
      </c>
      <c r="H51" s="25">
        <f t="shared" si="12"/>
        <v>1.592934915800161</v>
      </c>
      <c r="I51" s="25">
        <f t="shared" si="12"/>
        <v>1.4502849074681055</v>
      </c>
      <c r="J51" s="27">
        <f t="shared" si="12"/>
        <v>1.3051251017758512</v>
      </c>
      <c r="K51" s="24">
        <f t="shared" si="12"/>
        <v>1.171609985213534</v>
      </c>
      <c r="L51" s="24">
        <f t="shared" si="12"/>
        <v>0.6630178347783031</v>
      </c>
    </row>
    <row r="52" spans="1:12" ht="11.25">
      <c r="A52" s="1" t="s">
        <v>45</v>
      </c>
      <c r="C52" s="38">
        <f aca="true" t="shared" si="13" ref="C52:L52">C12/C11</f>
        <v>0.5447582949724756</v>
      </c>
      <c r="D52" s="38">
        <f t="shared" si="13"/>
        <v>0.5629151929794343</v>
      </c>
      <c r="E52" s="38">
        <f t="shared" si="13"/>
        <v>0.6209205183312876</v>
      </c>
      <c r="F52" s="24">
        <f t="shared" si="13"/>
        <v>0.6800938902312738</v>
      </c>
      <c r="G52" s="26">
        <f t="shared" si="13"/>
        <v>0.7083536662055088</v>
      </c>
      <c r="H52" s="25">
        <f t="shared" si="13"/>
        <v>0.692277261869139</v>
      </c>
      <c r="I52" s="25">
        <f t="shared" si="13"/>
        <v>0.6771980221332705</v>
      </c>
      <c r="J52" s="27">
        <f t="shared" si="13"/>
        <v>0.6191207910208445</v>
      </c>
      <c r="K52" s="24">
        <f t="shared" si="13"/>
        <v>0.5471255226905416</v>
      </c>
      <c r="L52" s="24">
        <f t="shared" si="13"/>
        <v>0.31383600831791914</v>
      </c>
    </row>
    <row r="53" spans="1:12" ht="11.25">
      <c r="A53" s="2" t="s">
        <v>46</v>
      </c>
      <c r="B53" s="2"/>
      <c r="C53" s="39">
        <f aca="true" t="shared" si="14" ref="C53:L53">(C12+C16)/C17</f>
        <v>1.17203517968222</v>
      </c>
      <c r="D53" s="39">
        <f t="shared" si="14"/>
        <v>1.3206064080514683</v>
      </c>
      <c r="E53" s="39">
        <f t="shared" si="14"/>
        <v>1.9229739442454037</v>
      </c>
      <c r="F53" s="29">
        <f t="shared" si="14"/>
        <v>2.1783966603816496</v>
      </c>
      <c r="G53" s="30">
        <f t="shared" si="14"/>
        <v>2.1192937616032146</v>
      </c>
      <c r="H53" s="29">
        <f t="shared" si="14"/>
        <v>1.9169379967090292</v>
      </c>
      <c r="I53" s="29">
        <f t="shared" si="14"/>
        <v>1.812339266804498</v>
      </c>
      <c r="J53" s="31">
        <f t="shared" si="14"/>
        <v>1.6560306317804723</v>
      </c>
      <c r="K53" s="29">
        <f t="shared" si="14"/>
        <v>1.668439821829951</v>
      </c>
      <c r="L53" s="29">
        <f t="shared" si="14"/>
        <v>1.2186095280628344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3">
        <f>C40/C28</f>
        <v>0.02829925719769265</v>
      </c>
      <c r="D55" s="33">
        <f>(D40/0.75)/D28</f>
        <v>0.09764382578974297</v>
      </c>
      <c r="E55" s="24">
        <f>(E40/0.5)/E28</f>
        <v>0.03675814278063584</v>
      </c>
      <c r="F55" s="24">
        <f>((F40)/0.25)/F28</f>
        <v>0.06904818219355459</v>
      </c>
      <c r="G55" s="40">
        <f>G40/G28</f>
        <v>0.07867657954943852</v>
      </c>
      <c r="H55" s="33">
        <f>(H40/0.75)/H28</f>
        <v>0.0920899883911773</v>
      </c>
      <c r="I55" s="33">
        <f>(I40/0.5)/I28</f>
        <v>0.07806671022023043</v>
      </c>
      <c r="J55" s="27">
        <f>((J40)/0.25)/J28</f>
        <v>0.07005473346956799</v>
      </c>
      <c r="K55" s="24">
        <f>K40/K28</f>
        <v>0.05830782820343362</v>
      </c>
      <c r="L55" s="24">
        <f>L40/L28</f>
        <v>0.04668741662961316</v>
      </c>
    </row>
    <row r="56" spans="1:12" ht="11.25">
      <c r="A56" s="1" t="s">
        <v>49</v>
      </c>
      <c r="B56" s="17"/>
      <c r="C56" s="33">
        <f>C40/C27</f>
        <v>0.010496052931673851</v>
      </c>
      <c r="D56" s="33">
        <f>(D40/0.75)/D27</f>
        <v>0.034300060681017035</v>
      </c>
      <c r="E56" s="24">
        <f>(E40/0.5)/E27</f>
        <v>0.010825071151543826</v>
      </c>
      <c r="F56" s="24">
        <f>((F40)/0.25)/F27</f>
        <v>0.020477921200902152</v>
      </c>
      <c r="G56" s="40">
        <f>G40/G27</f>
        <v>0.025155953506324814</v>
      </c>
      <c r="H56" s="33">
        <f>(H40/0.75)/H27</f>
        <v>0.03057179675336622</v>
      </c>
      <c r="I56" s="33">
        <f>(I40/0.5)/I27</f>
        <v>0.030130646255938465</v>
      </c>
      <c r="J56" s="27">
        <f>((J40)/0.25)/J27</f>
        <v>0.029525277935567636</v>
      </c>
      <c r="K56" s="24">
        <f>K40/K27</f>
        <v>0.03019124518121724</v>
      </c>
      <c r="L56" s="24">
        <f>L40/L27</f>
        <v>0.02244004784452597</v>
      </c>
    </row>
    <row r="57" spans="1:12" ht="11.25">
      <c r="A57" s="1" t="s">
        <v>50</v>
      </c>
      <c r="B57" s="17"/>
      <c r="C57" s="33">
        <f>+C40/C31</f>
        <v>0.059379771588788384</v>
      </c>
      <c r="D57" s="33">
        <f>(D40/0.75)/D31</f>
        <v>0.1613000196048533</v>
      </c>
      <c r="E57" s="24">
        <f>(E40/0.5)/E31</f>
        <v>0.04211857354711841</v>
      </c>
      <c r="F57" s="24">
        <f>((F40)/0.25)/F31</f>
        <v>0.0812406844895572</v>
      </c>
      <c r="G57" s="40">
        <f>+G40/G31</f>
        <v>0.1054395737466699</v>
      </c>
      <c r="H57" s="33">
        <f>(H40/0.75)/H31</f>
        <v>0.12263201732467101</v>
      </c>
      <c r="I57" s="33">
        <f>(I40/0.5)/I31</f>
        <v>0.13174245000154555</v>
      </c>
      <c r="J57" s="27">
        <f>((J40)/0.25)/J31</f>
        <v>0.14496618624393717</v>
      </c>
      <c r="K57" s="24">
        <f>K40/K31</f>
        <v>0.14984637201607184</v>
      </c>
      <c r="L57" s="24">
        <f>L40/L31</f>
        <v>0.12454483422719069</v>
      </c>
    </row>
    <row r="58" spans="1:12" ht="11.25">
      <c r="A58" s="1" t="s">
        <v>51</v>
      </c>
      <c r="B58" s="17"/>
      <c r="C58" s="33">
        <f>C33/C28</f>
        <v>0.10264332084336042</v>
      </c>
      <c r="D58" s="33">
        <f>(D33/0.75)/D28</f>
        <v>0.13040275265005866</v>
      </c>
      <c r="E58" s="24">
        <f>(E33/0.5)/E28</f>
        <v>0.20404420714390042</v>
      </c>
      <c r="F58" s="24">
        <f>((F33)/0.25)/F28</f>
        <v>0.21795236701690526</v>
      </c>
      <c r="G58" s="40">
        <f>G33/G28</f>
        <v>0.2400633229361313</v>
      </c>
      <c r="H58" s="33">
        <f>(H33/0.75)/H28</f>
        <v>0.25443336936071415</v>
      </c>
      <c r="I58" s="33">
        <f>(I33/0.5)/I28</f>
        <v>0.2113528266059359</v>
      </c>
      <c r="J58" s="27">
        <f>((J33)/0.25)/J28</f>
        <v>0.1841632351280024</v>
      </c>
      <c r="K58" s="24">
        <f>K33/K28</f>
        <v>0.12381484024271046</v>
      </c>
      <c r="L58" s="24">
        <f>L33/L27</f>
        <v>0.0659229546867298</v>
      </c>
    </row>
    <row r="59" spans="1:12" ht="11.25">
      <c r="A59" s="1" t="s">
        <v>52</v>
      </c>
      <c r="B59" s="17"/>
      <c r="C59" s="33">
        <f>C34/C28</f>
        <v>0.07116092915185211</v>
      </c>
      <c r="D59" s="33">
        <f>(D34/0.75)/D28</f>
        <v>0.08845894848627105</v>
      </c>
      <c r="E59" s="24">
        <f>(E34/0.5)/E28</f>
        <v>0.1346175692562359</v>
      </c>
      <c r="F59" s="24">
        <f>((F34)/0.25)/F28</f>
        <v>0.14457464251209667</v>
      </c>
      <c r="G59" s="40">
        <f>G34/G28</f>
        <v>0.1513678404782472</v>
      </c>
      <c r="H59" s="33">
        <f>(H34/0.75)/H28</f>
        <v>0.15726952483887754</v>
      </c>
      <c r="I59" s="33">
        <f>(I34/0.5)/I28</f>
        <v>0.1294517746042019</v>
      </c>
      <c r="J59" s="27">
        <f>((J34)/0.25)/J28</f>
        <v>0.11295837997145233</v>
      </c>
      <c r="K59" s="24">
        <f>K34/K28</f>
        <v>0.06739342919412344</v>
      </c>
      <c r="L59" s="24">
        <f>L34/L27</f>
        <v>0.04080572755506889</v>
      </c>
    </row>
    <row r="60" spans="1:12" ht="11.25">
      <c r="A60" s="1" t="s">
        <v>53</v>
      </c>
      <c r="B60" s="17"/>
      <c r="C60" s="33">
        <f>C35/C28</f>
        <v>0.03148239169150831</v>
      </c>
      <c r="D60" s="33">
        <f>(D35/0.75)/D28</f>
        <v>0.0419438041637876</v>
      </c>
      <c r="E60" s="24">
        <f>(E35/0.5)/E28</f>
        <v>0.06942663788766452</v>
      </c>
      <c r="F60" s="24">
        <f>((F35)/0.25)/F28</f>
        <v>0.0733777245048086</v>
      </c>
      <c r="G60" s="40">
        <f>G35/G28</f>
        <v>0.0886954824578841</v>
      </c>
      <c r="H60" s="33">
        <f>(H35/0.75)/H28</f>
        <v>0.0971638445218366</v>
      </c>
      <c r="I60" s="33">
        <f>(I35/0.5)/I28</f>
        <v>0.081901052001734</v>
      </c>
      <c r="J60" s="27">
        <f>((J35)/0.25)/J28</f>
        <v>0.07120485515655005</v>
      </c>
      <c r="K60" s="24">
        <f>K35/K28</f>
        <v>0.05642141104858701</v>
      </c>
      <c r="L60" s="24">
        <f>L35/L27</f>
        <v>0.02511722713166092</v>
      </c>
    </row>
    <row r="61" spans="1:12" ht="11.25">
      <c r="A61" s="1" t="s">
        <v>54</v>
      </c>
      <c r="B61" s="17"/>
      <c r="C61" s="33">
        <f>C38/C37</f>
        <v>0.8830872011251758</v>
      </c>
      <c r="D61" s="33">
        <f>(D38/0.75)/(D37/0.75)</f>
        <v>0.4543739684036784</v>
      </c>
      <c r="E61" s="24">
        <f>(E38/0.5)/(E37/0.5)</f>
        <v>0.6255783212161269</v>
      </c>
      <c r="F61" s="24">
        <f>(F38/0.25)/(F37/0.25)</f>
        <v>0.1853953840332955</v>
      </c>
      <c r="G61" s="40">
        <f>G38/G37</f>
        <v>0.2530368540251184</v>
      </c>
      <c r="H61" s="33">
        <f>(H38/0.75)/(H37/0.75)</f>
        <v>0.22808489220702963</v>
      </c>
      <c r="I61" s="33">
        <f>(I38/0.5)/(I37/0.5)</f>
        <v>0.2432528409090909</v>
      </c>
      <c r="J61" s="27">
        <f>(J38/0.25)/(J37/0.25)</f>
        <v>0.3072705117790414</v>
      </c>
      <c r="K61" s="24">
        <f>K38/K37</f>
        <v>0.4175533051318207</v>
      </c>
      <c r="L61" s="24">
        <f>L38/L37</f>
        <v>0.20777218886905727</v>
      </c>
    </row>
    <row r="62" spans="1:12" ht="11.25">
      <c r="A62" s="2" t="s">
        <v>55</v>
      </c>
      <c r="B62" s="2"/>
      <c r="C62" s="36">
        <f>C36/C28</f>
        <v>0.21057200671522222</v>
      </c>
      <c r="D62" s="36">
        <f>(D36/0.75)/D28</f>
        <v>0.13701361380263416</v>
      </c>
      <c r="E62" s="29">
        <f>(E36/0.5)/E28</f>
        <v>0.02878982132134569</v>
      </c>
      <c r="F62" s="29">
        <f>(F36/0.25)/F28</f>
        <v>0.011385092744408676</v>
      </c>
      <c r="G62" s="41">
        <f>G36/G28</f>
        <v>0.016633113702982177</v>
      </c>
      <c r="H62" s="36">
        <f>(H36/0.75)/H28</f>
        <v>0.022136823986229535</v>
      </c>
      <c r="I62" s="36">
        <f>(I36/0.5)/I28</f>
        <v>0.02125983771209466</v>
      </c>
      <c r="J62" s="31">
        <f>(J36/0.25)/J28</f>
        <v>0.0299237017488011</v>
      </c>
      <c r="K62" s="29">
        <f>K36/K28</f>
        <v>0.04368702585589227</v>
      </c>
      <c r="L62" s="29">
        <f>L36/L27</f>
        <v>0.003208019128618357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9">
        <v>24</v>
      </c>
      <c r="D64" s="9">
        <v>25</v>
      </c>
      <c r="E64" s="9">
        <v>25</v>
      </c>
      <c r="F64" s="9">
        <v>25</v>
      </c>
      <c r="G64" s="10">
        <f>22+2</f>
        <v>24</v>
      </c>
      <c r="H64" s="11">
        <f>22+2</f>
        <v>24</v>
      </c>
      <c r="I64" s="11">
        <f>2+23</f>
        <v>25</v>
      </c>
      <c r="J64" s="12">
        <v>24</v>
      </c>
      <c r="K64" s="9">
        <v>24</v>
      </c>
      <c r="L64" s="9">
        <v>20</v>
      </c>
    </row>
    <row r="65" spans="1:12" ht="11.25">
      <c r="A65" s="1" t="s">
        <v>58</v>
      </c>
      <c r="C65" s="9">
        <v>1</v>
      </c>
      <c r="D65" s="9">
        <v>1</v>
      </c>
      <c r="E65" s="9">
        <v>1</v>
      </c>
      <c r="F65" s="9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2897.625</v>
      </c>
      <c r="D66" s="9">
        <f t="shared" si="15"/>
        <v>1741.64</v>
      </c>
      <c r="E66" s="9">
        <f t="shared" si="15"/>
        <v>1592.84</v>
      </c>
      <c r="F66" s="9">
        <f t="shared" si="15"/>
        <v>1654.88</v>
      </c>
      <c r="G66" s="10">
        <f t="shared" si="15"/>
        <v>1679.5</v>
      </c>
      <c r="H66" s="11">
        <f t="shared" si="15"/>
        <v>1824.0833333333333</v>
      </c>
      <c r="I66" s="11">
        <f t="shared" si="15"/>
        <v>1613.64</v>
      </c>
      <c r="J66" s="12">
        <f t="shared" si="15"/>
        <v>3237.625</v>
      </c>
      <c r="K66" s="9">
        <f t="shared" si="15"/>
        <v>3171.4583333333335</v>
      </c>
      <c r="L66" s="9">
        <f t="shared" si="15"/>
        <v>8422.8</v>
      </c>
    </row>
    <row r="67" spans="1:12" ht="11.25">
      <c r="A67" s="1" t="s">
        <v>60</v>
      </c>
      <c r="C67" s="9">
        <f aca="true" t="shared" si="16" ref="C67:L67">+C17/C64</f>
        <v>27804.875</v>
      </c>
      <c r="D67" s="9">
        <f t="shared" si="16"/>
        <v>18838.8</v>
      </c>
      <c r="E67" s="9">
        <f t="shared" si="16"/>
        <v>7290.52</v>
      </c>
      <c r="F67" s="9">
        <f t="shared" si="16"/>
        <v>5452.12</v>
      </c>
      <c r="G67" s="10">
        <f t="shared" si="16"/>
        <v>6553.5</v>
      </c>
      <c r="H67" s="11">
        <f t="shared" si="16"/>
        <v>7140.75</v>
      </c>
      <c r="I67" s="11">
        <f t="shared" si="16"/>
        <v>7932.4</v>
      </c>
      <c r="J67" s="12">
        <f t="shared" si="16"/>
        <v>9467.291666666666</v>
      </c>
      <c r="K67" s="9">
        <f t="shared" si="16"/>
        <v>9101.791666666666</v>
      </c>
      <c r="L67" s="9">
        <f t="shared" si="16"/>
        <v>10300.1</v>
      </c>
    </row>
    <row r="68" spans="1:12" ht="11.25">
      <c r="A68" s="2" t="s">
        <v>61</v>
      </c>
      <c r="B68" s="2"/>
      <c r="C68" s="13">
        <f aca="true" t="shared" si="17" ref="C68:L68">+C40/C64</f>
        <v>277.0833333333333</v>
      </c>
      <c r="D68" s="13">
        <f t="shared" si="17"/>
        <v>555.36</v>
      </c>
      <c r="E68" s="13">
        <f t="shared" si="17"/>
        <v>90.6</v>
      </c>
      <c r="F68" s="13">
        <f t="shared" si="17"/>
        <v>86.12</v>
      </c>
      <c r="G68" s="14">
        <f t="shared" si="17"/>
        <v>453.5</v>
      </c>
      <c r="H68" s="13">
        <f t="shared" si="17"/>
        <v>383.4166666666667</v>
      </c>
      <c r="I68" s="13">
        <f t="shared" si="17"/>
        <v>255.72</v>
      </c>
      <c r="J68" s="15">
        <f t="shared" si="17"/>
        <v>142.125</v>
      </c>
      <c r="K68" s="13">
        <f t="shared" si="17"/>
        <v>567.9583333333334</v>
      </c>
      <c r="L68" s="13">
        <f t="shared" si="17"/>
        <v>488.25</v>
      </c>
    </row>
    <row r="69" spans="1:10" ht="11.25">
      <c r="A69" s="4" t="s">
        <v>62</v>
      </c>
      <c r="G69" s="16"/>
      <c r="H69" s="17"/>
      <c r="I69" s="17"/>
      <c r="J69" s="18"/>
    </row>
    <row r="70" spans="1:12" ht="11.25">
      <c r="A70" s="1" t="s">
        <v>63</v>
      </c>
      <c r="C70" s="24">
        <f>(C11/G11)-1</f>
        <v>1.1873802037479564</v>
      </c>
      <c r="D70" s="24">
        <f>(D11/H11)-1</f>
        <v>0.7372559859208505</v>
      </c>
      <c r="E70" s="24">
        <f>(E11/I11)-1</f>
        <v>-0.029324228867435798</v>
      </c>
      <c r="F70" s="24">
        <f>+(F11/J11)-1</f>
        <v>-0.24396003140032063</v>
      </c>
      <c r="G70" s="26">
        <f>+(G11/K11)-1</f>
        <v>-0.15012014400177864</v>
      </c>
      <c r="H70" s="25">
        <f>+(H11/408315)-1</f>
        <v>-0.034221128295556125</v>
      </c>
      <c r="I70" s="25">
        <f>+(I11/424004)-1</f>
        <v>0.0016414939481703694</v>
      </c>
      <c r="J70" s="27">
        <f>+(J11/445249)-1</f>
        <v>0.07574862604969357</v>
      </c>
      <c r="K70" s="24">
        <f>+(K11/L11)-1</f>
        <v>0.0748314012936433</v>
      </c>
      <c r="L70" s="24">
        <f>(L11/435114)-1</f>
        <v>0.00020914059304000254</v>
      </c>
    </row>
    <row r="71" spans="1:12" ht="11.25">
      <c r="A71" s="1" t="s">
        <v>64</v>
      </c>
      <c r="C71" s="24">
        <f>(C13/G13)-1</f>
        <v>0.7252902649598094</v>
      </c>
      <c r="D71" s="24">
        <f>(D13/H13)-1</f>
        <v>-0.005413678103156849</v>
      </c>
      <c r="E71" s="24">
        <f>(E13/I13)-1</f>
        <v>-0.012890111796931114</v>
      </c>
      <c r="F71" s="24">
        <f aca="true" t="shared" si="18" ref="F71:L71">SUM(F72:F73)</f>
        <v>-0.46756238497870095</v>
      </c>
      <c r="G71" s="26">
        <f t="shared" si="18"/>
        <v>-0.4704328975891743</v>
      </c>
      <c r="H71" s="25">
        <f t="shared" si="18"/>
        <v>-0.3180784448113648</v>
      </c>
      <c r="I71" s="25">
        <f t="shared" si="18"/>
        <v>-0.6426299797135087</v>
      </c>
      <c r="J71" s="27">
        <f t="shared" si="18"/>
        <v>-0.38332420656651034</v>
      </c>
      <c r="K71" s="24">
        <f t="shared" si="18"/>
        <v>-0.5481609441040984</v>
      </c>
      <c r="L71" s="24">
        <f t="shared" si="18"/>
        <v>4.543686444861289</v>
      </c>
    </row>
    <row r="72" spans="2:12" ht="11.25">
      <c r="B72" s="1" t="s">
        <v>15</v>
      </c>
      <c r="C72" s="24">
        <v>0</v>
      </c>
      <c r="D72" s="24">
        <v>0</v>
      </c>
      <c r="E72" s="24">
        <v>0</v>
      </c>
      <c r="F72" s="24">
        <v>0</v>
      </c>
      <c r="G72" s="26">
        <v>0</v>
      </c>
      <c r="H72" s="25">
        <v>0</v>
      </c>
      <c r="I72" s="25">
        <v>0</v>
      </c>
      <c r="J72" s="27">
        <v>0</v>
      </c>
      <c r="K72" s="24">
        <v>0</v>
      </c>
      <c r="L72" s="24">
        <v>0</v>
      </c>
    </row>
    <row r="73" spans="2:12" ht="11.25">
      <c r="B73" s="1" t="s">
        <v>16</v>
      </c>
      <c r="C73" s="24">
        <f>(C15/G15)-1</f>
        <v>0.7252902649598094</v>
      </c>
      <c r="D73" s="24">
        <f>(D15/H15)-1</f>
        <v>-0.005413678103156849</v>
      </c>
      <c r="E73" s="24">
        <f>(E15/I15)-1</f>
        <v>-0.012890111796931114</v>
      </c>
      <c r="F73" s="24">
        <f>+(F15/J15)-1</f>
        <v>-0.46756238497870095</v>
      </c>
      <c r="G73" s="26">
        <f>+(G15/K15)-1</f>
        <v>-0.4704328975891743</v>
      </c>
      <c r="H73" s="25">
        <f>+(H15/64198)-1</f>
        <v>-0.3180784448113648</v>
      </c>
      <c r="I73" s="25">
        <f>+(I15/112883)-1</f>
        <v>-0.6426299797135087</v>
      </c>
      <c r="J73" s="27">
        <f>+(J15/126003)-1</f>
        <v>-0.38332420656651034</v>
      </c>
      <c r="K73" s="24">
        <f>+(K15/L15)-1</f>
        <v>-0.5481609441040984</v>
      </c>
      <c r="L73" s="24">
        <f>+(L15/30387)-1</f>
        <v>4.543686444861289</v>
      </c>
    </row>
    <row r="74" spans="1:12" ht="11.25">
      <c r="A74" s="1" t="s">
        <v>65</v>
      </c>
      <c r="C74" s="24">
        <f>(C17/G17)-1</f>
        <v>3.2427519645990692</v>
      </c>
      <c r="D74" s="24">
        <f>(D17/H17)-1</f>
        <v>1.7481357000315092</v>
      </c>
      <c r="E74" s="24">
        <f>(E17/I17)-1</f>
        <v>-0.08091876355201455</v>
      </c>
      <c r="F74" s="24">
        <f aca="true" t="shared" si="19" ref="F74:L74">SUM(F75:F76)</f>
        <v>-0.4001144290649825</v>
      </c>
      <c r="G74" s="26">
        <f t="shared" si="19"/>
        <v>-0.27997692761956205</v>
      </c>
      <c r="H74" s="25">
        <f t="shared" si="19"/>
        <v>-0.09633160556191245</v>
      </c>
      <c r="I74" s="25">
        <f t="shared" si="19"/>
        <v>0.013155541931693326</v>
      </c>
      <c r="J74" s="27">
        <f t="shared" si="19"/>
        <v>0.08208439891608199</v>
      </c>
      <c r="K74" s="24">
        <f t="shared" si="19"/>
        <v>0.06039261754740255</v>
      </c>
      <c r="L74" s="24">
        <f t="shared" si="19"/>
        <v>-0.4011656807313847</v>
      </c>
    </row>
    <row r="75" spans="2:12" ht="11.25">
      <c r="B75" s="1" t="s">
        <v>15</v>
      </c>
      <c r="C75" s="24">
        <v>0</v>
      </c>
      <c r="D75" s="24">
        <v>0</v>
      </c>
      <c r="E75" s="24">
        <v>0</v>
      </c>
      <c r="F75" s="24">
        <v>0</v>
      </c>
      <c r="G75" s="26">
        <v>0</v>
      </c>
      <c r="H75" s="25">
        <v>0</v>
      </c>
      <c r="I75" s="25">
        <v>0</v>
      </c>
      <c r="J75" s="27">
        <v>0</v>
      </c>
      <c r="K75" s="24">
        <v>0</v>
      </c>
      <c r="L75" s="24">
        <v>0</v>
      </c>
    </row>
    <row r="76" spans="2:12" ht="11.25">
      <c r="B76" s="1" t="s">
        <v>16</v>
      </c>
      <c r="C76" s="24">
        <f>(C22/G22)-1</f>
        <v>3.2427519645990692</v>
      </c>
      <c r="D76" s="24">
        <f>(D22/H22)-1</f>
        <v>1.7481357000315092</v>
      </c>
      <c r="E76" s="24">
        <f>(E22/I22)-1</f>
        <v>-0.08091876355201455</v>
      </c>
      <c r="F76" s="24">
        <f>+(F22/J22)-1</f>
        <v>-0.4001144290649825</v>
      </c>
      <c r="G76" s="26">
        <f>+(G22/K22)-1</f>
        <v>-0.27997692761956205</v>
      </c>
      <c r="H76" s="25">
        <f>+(H22/189647)-1</f>
        <v>-0.09633160556191245</v>
      </c>
      <c r="I76" s="25">
        <f>+(I22/195735)-1</f>
        <v>0.013155541931693326</v>
      </c>
      <c r="J76" s="27">
        <f>+(J22/209979)-1</f>
        <v>0.08208439891608199</v>
      </c>
      <c r="K76" s="24">
        <f>+(K22/L22)-1</f>
        <v>0.06039261754740255</v>
      </c>
      <c r="L76" s="24">
        <f>+(L22/344005)-1</f>
        <v>-0.4011656807313847</v>
      </c>
    </row>
    <row r="77" spans="1:12" ht="11.25">
      <c r="A77" s="1" t="s">
        <v>66</v>
      </c>
      <c r="C77" s="24">
        <f>(C25/G25)-1</f>
        <v>0.061177726448691905</v>
      </c>
      <c r="D77" s="24">
        <f>(D25/H25)-1</f>
        <v>0.14552779413551686</v>
      </c>
      <c r="E77" s="24">
        <f>(E25/I25)-1</f>
        <v>0.06486201103911693</v>
      </c>
      <c r="F77" s="25">
        <f>+(F25/J25)-1</f>
        <v>0.0951458613329117</v>
      </c>
      <c r="G77" s="26">
        <f>+(G25/K25)-1</f>
        <v>0.11130769152102093</v>
      </c>
      <c r="H77" s="25">
        <f>+(H25/93117)-1</f>
        <v>0.1489094365153516</v>
      </c>
      <c r="I77" s="25">
        <f>+(I25/89931)-1</f>
        <v>0.15838809754144845</v>
      </c>
      <c r="J77" s="27">
        <f>+(J25/87045)-1</f>
        <v>0.16252513067953367</v>
      </c>
      <c r="K77" s="25">
        <f>+(K25/L25)-1</f>
        <v>0.16200831847890673</v>
      </c>
      <c r="L77" s="25">
        <f>(L25/72661)-1</f>
        <v>0.1581178348770318</v>
      </c>
    </row>
    <row r="78" spans="1:12" ht="11.25">
      <c r="A78" s="2" t="s">
        <v>67</v>
      </c>
      <c r="B78" s="2"/>
      <c r="C78" s="29">
        <f>(C40/G40)-1</f>
        <v>-0.3890113928702683</v>
      </c>
      <c r="D78" s="29">
        <f>(D40/H40)-1</f>
        <v>0.5088024342534232</v>
      </c>
      <c r="E78" s="29">
        <f>(E40/I40)-1</f>
        <v>-0.6457062412013139</v>
      </c>
      <c r="F78" s="29">
        <f>+(F40/J40)-1</f>
        <v>-0.36880680152447964</v>
      </c>
      <c r="G78" s="30">
        <f>+(G40/K40)-1</f>
        <v>-0.20152593353385662</v>
      </c>
      <c r="H78" s="29">
        <f>+(H40/8968)-1</f>
        <v>0.026092774308652977</v>
      </c>
      <c r="I78" s="29">
        <f>+(I40/5781)-1</f>
        <v>0.10586403736377781</v>
      </c>
      <c r="J78" s="31">
        <f>+(J40/2896)-1</f>
        <v>0.1778314917127073</v>
      </c>
      <c r="K78" s="29">
        <f>+(K40/L40)-1</f>
        <v>0.3959037378392216</v>
      </c>
      <c r="L78" s="29">
        <f>+(L40/8302)-1</f>
        <v>0.17622259696458675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131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2002-03-19T18:09:56Z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