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Occidente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<sst xmlns="http://schemas.openxmlformats.org/spreadsheetml/2006/main" count="84" uniqueCount="68">
  <si>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19-17</t>
  </si>
  <si>
    <t>BANCO DE OCCIDENTE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</si>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</sst>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2" fontId="2" fillId="0" borderId="0" xfId="19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82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43" fontId="2" fillId="0" borderId="4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11.421875" defaultRowHeight="12.75"/>
  <cols>
    <col min="1" max="1" width="1.421875" style="1" customWidth="1"/>
    <col min="2" max="2" width="41.140625" style="1" customWidth="1"/>
    <col min="3" max="3" width="9.140625" style="1" customWidth="1"/>
    <col min="4" max="4" width="10.00390625" style="1" customWidth="1"/>
    <col min="5" max="6" width="7.7109375" style="1" bestFit="1" customWidth="1"/>
    <col min="7" max="7" width="9.140625" style="1" customWidth="1"/>
    <col min="8" max="8" width="10.57421875" style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9.75" customHeight="1">
      <c r="B2" s="40"/>
      <c r="C2" s="40"/>
      <c r="D2" s="40"/>
      <c r="E2" s="40"/>
      <c r="F2" s="40" t="s">
        <v>0</v>
      </c>
      <c r="H2" s="40"/>
      <c r="I2" s="40"/>
      <c r="J2" s="40"/>
      <c r="K2" s="40"/>
      <c r="L2" s="40"/>
    </row>
    <row r="3" spans="2:12" ht="9.75" customHeight="1">
      <c r="B3" s="40"/>
      <c r="C3" s="40"/>
      <c r="D3" s="40"/>
      <c r="E3" s="40"/>
      <c r="F3" s="40" t="s">
        <v>1</v>
      </c>
      <c r="H3" s="40"/>
      <c r="I3" s="40"/>
      <c r="J3" s="40"/>
      <c r="K3" s="40"/>
      <c r="L3" s="40"/>
    </row>
    <row r="4" spans="2:12" ht="11.25">
      <c r="B4" s="40"/>
      <c r="C4" s="40"/>
      <c r="D4" s="40"/>
      <c r="E4" s="40"/>
      <c r="F4" s="40" t="s">
        <v>2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 t="s">
        <v>3</v>
      </c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7" t="s">
        <v>4</v>
      </c>
      <c r="L8" s="47"/>
    </row>
    <row r="9" spans="1:12" s="4" customFormat="1" ht="11.25">
      <c r="A9" s="41"/>
      <c r="B9" s="41"/>
      <c r="C9" s="42" t="s">
        <v>5</v>
      </c>
      <c r="D9" s="42" t="s">
        <v>6</v>
      </c>
      <c r="E9" s="41" t="s">
        <v>7</v>
      </c>
      <c r="F9" s="41" t="s">
        <v>8</v>
      </c>
      <c r="G9" s="43" t="s">
        <v>5</v>
      </c>
      <c r="H9" s="42" t="s">
        <v>6</v>
      </c>
      <c r="I9" s="42" t="s">
        <v>7</v>
      </c>
      <c r="J9" s="44" t="s">
        <v>8</v>
      </c>
      <c r="K9" s="45" t="s">
        <v>9</v>
      </c>
      <c r="L9" s="45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197602</v>
      </c>
      <c r="D11" s="9">
        <v>215622</v>
      </c>
      <c r="E11" s="9">
        <v>215069</v>
      </c>
      <c r="F11" s="9">
        <v>207860</v>
      </c>
      <c r="G11" s="10">
        <v>207742</v>
      </c>
      <c r="H11" s="11">
        <v>198297</v>
      </c>
      <c r="I11" s="11">
        <v>192604</v>
      </c>
      <c r="J11" s="12">
        <v>197993</v>
      </c>
      <c r="K11" s="9">
        <v>198774</v>
      </c>
      <c r="L11" s="9">
        <v>183102</v>
      </c>
    </row>
    <row r="12" spans="1:12" ht="11.25">
      <c r="A12" s="1" t="s">
        <v>13</v>
      </c>
      <c r="C12" s="9">
        <v>69283</v>
      </c>
      <c r="D12" s="9">
        <v>88819</v>
      </c>
      <c r="E12" s="9">
        <v>88181</v>
      </c>
      <c r="F12" s="9">
        <v>72582</v>
      </c>
      <c r="G12" s="10">
        <v>89360</v>
      </c>
      <c r="H12" s="11">
        <v>93687</v>
      </c>
      <c r="I12" s="11">
        <v>53025</v>
      </c>
      <c r="J12" s="12">
        <v>65644</v>
      </c>
      <c r="K12" s="9">
        <v>74083</v>
      </c>
      <c r="L12" s="9">
        <v>108237</v>
      </c>
    </row>
    <row r="13" spans="1:12" ht="11.25">
      <c r="A13" s="1" t="s">
        <v>14</v>
      </c>
      <c r="C13" s="9">
        <f aca="true" t="shared" si="0" ref="C13:L13">C14+C15</f>
        <v>27119</v>
      </c>
      <c r="D13" s="9">
        <f t="shared" si="0"/>
        <v>25463</v>
      </c>
      <c r="E13" s="9">
        <f t="shared" si="0"/>
        <v>24879</v>
      </c>
      <c r="F13" s="9">
        <f t="shared" si="0"/>
        <v>25443</v>
      </c>
      <c r="G13" s="10">
        <f t="shared" si="0"/>
        <v>26065</v>
      </c>
      <c r="H13" s="11">
        <f t="shared" si="0"/>
        <v>28174</v>
      </c>
      <c r="I13" s="11">
        <f t="shared" si="0"/>
        <v>28593</v>
      </c>
      <c r="J13" s="12">
        <f t="shared" si="0"/>
        <v>28367</v>
      </c>
      <c r="K13" s="9">
        <f t="shared" si="0"/>
        <v>35786</v>
      </c>
      <c r="L13" s="9">
        <f t="shared" si="0"/>
        <v>30406</v>
      </c>
    </row>
    <row r="14" spans="2:12" ht="11.25">
      <c r="B14" s="1" t="s">
        <v>15</v>
      </c>
      <c r="C14" s="9">
        <v>0</v>
      </c>
      <c r="D14" s="9">
        <v>0</v>
      </c>
      <c r="E14" s="9">
        <v>0</v>
      </c>
      <c r="F14" s="9">
        <v>0</v>
      </c>
      <c r="G14" s="10">
        <v>0</v>
      </c>
      <c r="H14" s="11">
        <v>0</v>
      </c>
      <c r="I14" s="11">
        <v>0</v>
      </c>
      <c r="J14" s="12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27119</v>
      </c>
      <c r="D15" s="9">
        <v>25463</v>
      </c>
      <c r="E15" s="9">
        <v>24879</v>
      </c>
      <c r="F15" s="9">
        <v>25443</v>
      </c>
      <c r="G15" s="10">
        <v>26065</v>
      </c>
      <c r="H15" s="11">
        <v>28174</v>
      </c>
      <c r="I15" s="11">
        <v>28593</v>
      </c>
      <c r="J15" s="12">
        <v>28367</v>
      </c>
      <c r="K15" s="9">
        <v>35786</v>
      </c>
      <c r="L15" s="9">
        <v>30406</v>
      </c>
    </row>
    <row r="16" spans="1:12" ht="11.25">
      <c r="A16" s="1" t="s">
        <v>17</v>
      </c>
      <c r="C16" s="9">
        <v>98558</v>
      </c>
      <c r="D16" s="9">
        <v>97191</v>
      </c>
      <c r="E16" s="9">
        <v>97689</v>
      </c>
      <c r="F16" s="9">
        <v>104998</v>
      </c>
      <c r="G16" s="10">
        <v>88448</v>
      </c>
      <c r="H16" s="11">
        <v>73168</v>
      </c>
      <c r="I16" s="11">
        <v>106305</v>
      </c>
      <c r="J16" s="12">
        <v>99797</v>
      </c>
      <c r="K16" s="9">
        <v>84358</v>
      </c>
      <c r="L16" s="9">
        <v>40974</v>
      </c>
    </row>
    <row r="17" spans="1:12" ht="11.25">
      <c r="A17" s="1" t="s">
        <v>18</v>
      </c>
      <c r="C17" s="9">
        <f aca="true" t="shared" si="1" ref="C17:L17">C18+C22</f>
        <v>184203</v>
      </c>
      <c r="D17" s="9">
        <f t="shared" si="1"/>
        <v>197895</v>
      </c>
      <c r="E17" s="9">
        <f t="shared" si="1"/>
        <v>197601</v>
      </c>
      <c r="F17" s="9">
        <f t="shared" si="1"/>
        <v>190164</v>
      </c>
      <c r="G17" s="10">
        <f t="shared" si="1"/>
        <v>187892</v>
      </c>
      <c r="H17" s="11">
        <f t="shared" si="1"/>
        <v>177543</v>
      </c>
      <c r="I17" s="11">
        <f t="shared" si="1"/>
        <v>170174</v>
      </c>
      <c r="J17" s="12">
        <f t="shared" si="1"/>
        <v>179205</v>
      </c>
      <c r="K17" s="9">
        <f t="shared" si="1"/>
        <v>179208</v>
      </c>
      <c r="L17" s="9">
        <f t="shared" si="1"/>
        <v>170351</v>
      </c>
    </row>
    <row r="18" spans="2:12" ht="11.25">
      <c r="B18" s="1" t="s">
        <v>15</v>
      </c>
      <c r="C18" s="9">
        <f aca="true" t="shared" si="2" ref="C18:L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0">
        <f t="shared" si="2"/>
        <v>0</v>
      </c>
      <c r="H18" s="11">
        <f t="shared" si="2"/>
        <v>0</v>
      </c>
      <c r="I18" s="11">
        <f t="shared" si="2"/>
        <v>0</v>
      </c>
      <c r="J18" s="12">
        <f t="shared" si="2"/>
        <v>0</v>
      </c>
      <c r="K18" s="9">
        <f t="shared" si="2"/>
        <v>0</v>
      </c>
      <c r="L18" s="9">
        <f t="shared" si="2"/>
        <v>0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/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11">
        <v>0</v>
      </c>
      <c r="J20" s="12">
        <v>0</v>
      </c>
      <c r="K20" s="9">
        <v>0</v>
      </c>
      <c r="L20" s="9">
        <v>0</v>
      </c>
    </row>
    <row r="21" spans="2:12" ht="11.25">
      <c r="B21" s="1" t="s">
        <v>21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184203</v>
      </c>
      <c r="D22" s="9">
        <f t="shared" si="3"/>
        <v>197895</v>
      </c>
      <c r="E22" s="9">
        <f t="shared" si="3"/>
        <v>197601</v>
      </c>
      <c r="F22" s="9">
        <f t="shared" si="3"/>
        <v>190164</v>
      </c>
      <c r="G22" s="10">
        <f t="shared" si="3"/>
        <v>187892</v>
      </c>
      <c r="H22" s="11">
        <f t="shared" si="3"/>
        <v>177543</v>
      </c>
      <c r="I22" s="11">
        <f t="shared" si="3"/>
        <v>170174</v>
      </c>
      <c r="J22" s="12">
        <f t="shared" si="3"/>
        <v>179205</v>
      </c>
      <c r="K22" s="9">
        <f t="shared" si="3"/>
        <v>179208</v>
      </c>
      <c r="L22" s="9">
        <f t="shared" si="3"/>
        <v>170351</v>
      </c>
    </row>
    <row r="23" spans="2:12" ht="11.25">
      <c r="B23" s="1" t="s">
        <v>20</v>
      </c>
      <c r="C23" s="9">
        <f>12208+171504</f>
        <v>183712</v>
      </c>
      <c r="D23" s="9">
        <f>183201+13849</f>
        <v>197050</v>
      </c>
      <c r="E23" s="9">
        <v>196793</v>
      </c>
      <c r="F23" s="9">
        <v>189765</v>
      </c>
      <c r="G23" s="10">
        <f>168515+11525</f>
        <v>180040</v>
      </c>
      <c r="H23" s="11">
        <v>170136</v>
      </c>
      <c r="I23" s="11">
        <v>161706</v>
      </c>
      <c r="J23" s="12">
        <v>171197</v>
      </c>
      <c r="K23" s="9">
        <v>172921</v>
      </c>
      <c r="L23" s="9">
        <v>158201</v>
      </c>
    </row>
    <row r="24" spans="2:12" ht="11.25">
      <c r="B24" s="1" t="s">
        <v>21</v>
      </c>
      <c r="C24" s="9">
        <f>486+5</f>
        <v>491</v>
      </c>
      <c r="D24" s="9">
        <f>342+498+5</f>
        <v>845</v>
      </c>
      <c r="E24" s="9">
        <v>808</v>
      </c>
      <c r="F24" s="9">
        <v>399</v>
      </c>
      <c r="G24" s="10">
        <f>373+6+7333+114+26</f>
        <v>7852</v>
      </c>
      <c r="H24" s="11">
        <v>7407</v>
      </c>
      <c r="I24" s="11">
        <f>7468+1000</f>
        <v>8468</v>
      </c>
      <c r="J24" s="12">
        <v>8008</v>
      </c>
      <c r="K24" s="9">
        <v>6287</v>
      </c>
      <c r="L24" s="9">
        <v>12150</v>
      </c>
    </row>
    <row r="25" spans="1:12" ht="11.25">
      <c r="A25" s="2" t="s">
        <v>22</v>
      </c>
      <c r="B25" s="2"/>
      <c r="C25" s="13">
        <v>11207</v>
      </c>
      <c r="D25" s="13">
        <v>10460</v>
      </c>
      <c r="E25" s="13">
        <v>9780</v>
      </c>
      <c r="F25" s="13">
        <v>8560</v>
      </c>
      <c r="G25" s="14">
        <v>10736</v>
      </c>
      <c r="H25" s="13">
        <v>10041</v>
      </c>
      <c r="I25" s="13">
        <v>9204</v>
      </c>
      <c r="J25" s="15">
        <v>8460</v>
      </c>
      <c r="K25" s="13">
        <v>9374</v>
      </c>
      <c r="L25" s="13">
        <v>8407</v>
      </c>
    </row>
    <row r="26" spans="1:12" ht="11.25">
      <c r="A26" s="4" t="s">
        <v>23</v>
      </c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202672</v>
      </c>
      <c r="D27" s="9">
        <f>(D11+H11)/2</f>
        <v>206959.5</v>
      </c>
      <c r="E27" s="9">
        <f>(E11+I11)/2</f>
        <v>203836.5</v>
      </c>
      <c r="F27" s="9">
        <f>+(F11+J11)/2</f>
        <v>202926.5</v>
      </c>
      <c r="G27" s="10">
        <f>+(G11+K11)/2</f>
        <v>203258</v>
      </c>
      <c r="H27" s="11">
        <f>+(187746+H11)/2</f>
        <v>193021.5</v>
      </c>
      <c r="I27" s="11">
        <f>+(185892+I11)/2</f>
        <v>189248</v>
      </c>
      <c r="J27" s="12">
        <f>+(178558+J11)/2</f>
        <v>188275.5</v>
      </c>
      <c r="K27" s="9">
        <f>(K11+L11)/2</f>
        <v>190938</v>
      </c>
      <c r="L27" s="9">
        <f>(L11+150332)/2</f>
        <v>166717</v>
      </c>
    </row>
    <row r="28" spans="1:12" ht="11.25">
      <c r="A28" s="1" t="s">
        <v>24</v>
      </c>
      <c r="C28" s="9">
        <f aca="true" t="shared" si="4" ref="C28:L28">C29+C30</f>
        <v>120095</v>
      </c>
      <c r="D28" s="9">
        <f t="shared" si="4"/>
        <v>111998</v>
      </c>
      <c r="E28" s="9">
        <f t="shared" si="4"/>
        <v>128733</v>
      </c>
      <c r="F28" s="9">
        <f t="shared" si="4"/>
        <v>129302.5</v>
      </c>
      <c r="G28" s="10">
        <f t="shared" si="4"/>
        <v>117328.5</v>
      </c>
      <c r="H28" s="11">
        <f t="shared" si="4"/>
        <v>96269.5</v>
      </c>
      <c r="I28" s="11">
        <f t="shared" si="4"/>
        <v>114595</v>
      </c>
      <c r="J28" s="12">
        <f t="shared" si="4"/>
        <v>108017.5</v>
      </c>
      <c r="K28" s="9">
        <f t="shared" si="4"/>
        <v>95762</v>
      </c>
      <c r="L28" s="9">
        <f t="shared" si="4"/>
        <v>84554</v>
      </c>
    </row>
    <row r="29" spans="2:12" ht="11.25">
      <c r="B29" s="1" t="s">
        <v>14</v>
      </c>
      <c r="C29" s="9">
        <f>(C13+G13)/2</f>
        <v>26592</v>
      </c>
      <c r="D29" s="9">
        <f>(D13+H13)/2</f>
        <v>26818.5</v>
      </c>
      <c r="E29" s="9">
        <f>(E13+I13)/2</f>
        <v>26736</v>
      </c>
      <c r="F29" s="9">
        <f>+(F13+J13)/2</f>
        <v>26905</v>
      </c>
      <c r="G29" s="10">
        <f>+(G13+K13)/2</f>
        <v>30925.5</v>
      </c>
      <c r="H29" s="11">
        <f>+(42610+H13)/2</f>
        <v>35392</v>
      </c>
      <c r="I29" s="11">
        <f>+(41690+I13)/2</f>
        <v>35141.5</v>
      </c>
      <c r="J29" s="12">
        <f>+(35270+J13)/2</f>
        <v>31818.5</v>
      </c>
      <c r="K29" s="9">
        <f>(K13+L13)/2</f>
        <v>33096</v>
      </c>
      <c r="L29" s="9">
        <f>(L13+36523)/2</f>
        <v>33464.5</v>
      </c>
    </row>
    <row r="30" spans="2:12" ht="11.25">
      <c r="B30" s="1" t="s">
        <v>17</v>
      </c>
      <c r="C30" s="9">
        <f>(C16+G16)/2</f>
        <v>93503</v>
      </c>
      <c r="D30" s="9">
        <f>(D16+H16)/2</f>
        <v>85179.5</v>
      </c>
      <c r="E30" s="9">
        <f>(E16+I16)/2</f>
        <v>101997</v>
      </c>
      <c r="F30" s="9">
        <f>+(F16+J16)/2</f>
        <v>102397.5</v>
      </c>
      <c r="G30" s="10">
        <f>+(G16+K16)/2</f>
        <v>86403</v>
      </c>
      <c r="H30" s="11">
        <f>+(48587+H16)/2</f>
        <v>60877.5</v>
      </c>
      <c r="I30" s="11">
        <f>+(52602+I16)/2</f>
        <v>79453.5</v>
      </c>
      <c r="J30" s="12">
        <f>+(52601+J16)/2</f>
        <v>76199</v>
      </c>
      <c r="K30" s="9">
        <f>(K16+L16)/2</f>
        <v>62666</v>
      </c>
      <c r="L30" s="9">
        <f>(L16+61205)/2</f>
        <v>51089.5</v>
      </c>
    </row>
    <row r="31" spans="1:12" ht="11.25">
      <c r="A31" s="2" t="s">
        <v>22</v>
      </c>
      <c r="B31" s="2"/>
      <c r="C31" s="13">
        <f>(C25+G25)/2</f>
        <v>10971.5</v>
      </c>
      <c r="D31" s="13">
        <f>(D25+H25)/2</f>
        <v>10250.5</v>
      </c>
      <c r="E31" s="13">
        <f>(E25+I25)/2</f>
        <v>9492</v>
      </c>
      <c r="F31" s="13">
        <f>+(F25+J25)/2</f>
        <v>8510</v>
      </c>
      <c r="G31" s="14">
        <f>+(G25+K25)/2</f>
        <v>10055</v>
      </c>
      <c r="H31" s="13">
        <f>+(8792+H25)/2</f>
        <v>9416.5</v>
      </c>
      <c r="I31" s="13">
        <f>+(8029+I25)/2</f>
        <v>8616.5</v>
      </c>
      <c r="J31" s="15">
        <f>+(8029+J25)/2</f>
        <v>8244.5</v>
      </c>
      <c r="K31" s="13">
        <f>(K25+L25)/2</f>
        <v>8890.5</v>
      </c>
      <c r="L31" s="13">
        <f>(L25+9278)/2</f>
        <v>8842.5</v>
      </c>
    </row>
    <row r="32" spans="1:10" ht="11.25">
      <c r="A32" s="4" t="s">
        <v>25</v>
      </c>
      <c r="F32" s="9"/>
      <c r="G32" s="16"/>
      <c r="H32" s="17"/>
      <c r="I32" s="17"/>
      <c r="J32" s="18"/>
    </row>
    <row r="33" spans="1:12" ht="11.25">
      <c r="A33" s="1" t="s">
        <v>26</v>
      </c>
      <c r="C33" s="9">
        <v>13395</v>
      </c>
      <c r="D33" s="9">
        <v>10531</v>
      </c>
      <c r="E33" s="9">
        <v>7227</v>
      </c>
      <c r="F33" s="9">
        <v>3654</v>
      </c>
      <c r="G33" s="10">
        <v>14953</v>
      </c>
      <c r="H33" s="11">
        <v>11337</v>
      </c>
      <c r="I33" s="11">
        <v>7585</v>
      </c>
      <c r="J33" s="12">
        <v>3740</v>
      </c>
      <c r="K33" s="9">
        <v>12077</v>
      </c>
      <c r="L33" s="9">
        <v>11158</v>
      </c>
    </row>
    <row r="34" spans="1:12" ht="11.25">
      <c r="A34" s="1" t="s">
        <v>27</v>
      </c>
      <c r="C34" s="9">
        <v>11288</v>
      </c>
      <c r="D34" s="9">
        <v>8921</v>
      </c>
      <c r="E34" s="9">
        <v>6172</v>
      </c>
      <c r="F34" s="9">
        <v>3176</v>
      </c>
      <c r="G34" s="10">
        <v>12065</v>
      </c>
      <c r="H34" s="11">
        <v>8869</v>
      </c>
      <c r="I34" s="11">
        <v>5882</v>
      </c>
      <c r="J34" s="12">
        <v>2866</v>
      </c>
      <c r="K34" s="9">
        <v>10421</v>
      </c>
      <c r="L34" s="9">
        <v>10170</v>
      </c>
    </row>
    <row r="35" spans="1:12" ht="11.25">
      <c r="A35" s="1" t="s">
        <v>28</v>
      </c>
      <c r="C35" s="9">
        <f>+C33-C34</f>
        <v>2107</v>
      </c>
      <c r="D35" s="9">
        <f aca="true" t="shared" si="5" ref="D35:L35">D33-D34</f>
        <v>1610</v>
      </c>
      <c r="E35" s="9">
        <f t="shared" si="5"/>
        <v>1055</v>
      </c>
      <c r="F35" s="9">
        <f t="shared" si="5"/>
        <v>478</v>
      </c>
      <c r="G35" s="10">
        <f t="shared" si="5"/>
        <v>2888</v>
      </c>
      <c r="H35" s="11">
        <f t="shared" si="5"/>
        <v>2468</v>
      </c>
      <c r="I35" s="11">
        <f t="shared" si="5"/>
        <v>1703</v>
      </c>
      <c r="J35" s="12">
        <f t="shared" si="5"/>
        <v>874</v>
      </c>
      <c r="K35" s="9">
        <f t="shared" si="5"/>
        <v>1656</v>
      </c>
      <c r="L35" s="9">
        <f t="shared" si="5"/>
        <v>988</v>
      </c>
    </row>
    <row r="36" spans="1:12" ht="11.25">
      <c r="A36" s="1" t="s">
        <v>29</v>
      </c>
      <c r="C36" s="9">
        <v>2546</v>
      </c>
      <c r="D36" s="9">
        <v>1942</v>
      </c>
      <c r="E36" s="9">
        <v>1351</v>
      </c>
      <c r="F36" s="9">
        <v>727</v>
      </c>
      <c r="G36" s="10">
        <v>2768</v>
      </c>
      <c r="H36" s="11">
        <v>2061</v>
      </c>
      <c r="I36" s="11">
        <v>1334</v>
      </c>
      <c r="J36" s="12">
        <v>604</v>
      </c>
      <c r="K36" s="9">
        <v>1496</v>
      </c>
      <c r="L36" s="9">
        <v>2452</v>
      </c>
    </row>
    <row r="37" spans="1:12" ht="11.25">
      <c r="A37" s="1" t="s">
        <v>30</v>
      </c>
      <c r="C37" s="9">
        <f>+C35+C36</f>
        <v>4653</v>
      </c>
      <c r="D37" s="9">
        <f aca="true" t="shared" si="6" ref="D37:L37">D35+D36</f>
        <v>3552</v>
      </c>
      <c r="E37" s="9">
        <f t="shared" si="6"/>
        <v>2406</v>
      </c>
      <c r="F37" s="9">
        <f t="shared" si="6"/>
        <v>1205</v>
      </c>
      <c r="G37" s="10">
        <f t="shared" si="6"/>
        <v>5656</v>
      </c>
      <c r="H37" s="11">
        <f t="shared" si="6"/>
        <v>4529</v>
      </c>
      <c r="I37" s="11">
        <f t="shared" si="6"/>
        <v>3037</v>
      </c>
      <c r="J37" s="12">
        <f t="shared" si="6"/>
        <v>1478</v>
      </c>
      <c r="K37" s="9">
        <f t="shared" si="6"/>
        <v>3152</v>
      </c>
      <c r="L37" s="9">
        <f t="shared" si="6"/>
        <v>3440</v>
      </c>
    </row>
    <row r="38" spans="1:12" ht="11.25">
      <c r="A38" s="1" t="s">
        <v>31</v>
      </c>
      <c r="C38" s="9">
        <v>1629</v>
      </c>
      <c r="D38" s="9">
        <v>1224</v>
      </c>
      <c r="E38" s="9">
        <v>838</v>
      </c>
      <c r="F38" s="9">
        <v>416</v>
      </c>
      <c r="G38" s="10">
        <v>2541</v>
      </c>
      <c r="H38" s="11">
        <v>2140</v>
      </c>
      <c r="I38" s="11">
        <v>1516</v>
      </c>
      <c r="J38" s="12">
        <v>731</v>
      </c>
      <c r="K38" s="9">
        <v>1612</v>
      </c>
      <c r="L38" s="9">
        <v>1252</v>
      </c>
    </row>
    <row r="39" spans="1:12" ht="11.25">
      <c r="A39" s="1" t="s">
        <v>32</v>
      </c>
      <c r="C39" s="9">
        <f>+C37-C38</f>
        <v>3024</v>
      </c>
      <c r="D39" s="9">
        <f aca="true" t="shared" si="7" ref="D39:L39">D37-D38</f>
        <v>2328</v>
      </c>
      <c r="E39" s="9">
        <f t="shared" si="7"/>
        <v>1568</v>
      </c>
      <c r="F39" s="9">
        <f t="shared" si="7"/>
        <v>789</v>
      </c>
      <c r="G39" s="10">
        <f t="shared" si="7"/>
        <v>3115</v>
      </c>
      <c r="H39" s="11">
        <f t="shared" si="7"/>
        <v>2389</v>
      </c>
      <c r="I39" s="11">
        <f t="shared" si="7"/>
        <v>1521</v>
      </c>
      <c r="J39" s="12">
        <f t="shared" si="7"/>
        <v>747</v>
      </c>
      <c r="K39" s="9">
        <f t="shared" si="7"/>
        <v>1540</v>
      </c>
      <c r="L39" s="9">
        <f t="shared" si="7"/>
        <v>2188</v>
      </c>
    </row>
    <row r="40" spans="1:12" ht="11.25">
      <c r="A40" s="2" t="s">
        <v>33</v>
      </c>
      <c r="B40" s="2"/>
      <c r="C40" s="13">
        <v>3024</v>
      </c>
      <c r="D40" s="13">
        <v>2328</v>
      </c>
      <c r="E40" s="13">
        <v>1568</v>
      </c>
      <c r="F40" s="13">
        <v>789</v>
      </c>
      <c r="G40" s="14">
        <v>2965</v>
      </c>
      <c r="H40" s="13">
        <v>2389</v>
      </c>
      <c r="I40" s="13">
        <v>1521</v>
      </c>
      <c r="J40" s="15">
        <v>687</v>
      </c>
      <c r="K40" s="13">
        <v>1520</v>
      </c>
      <c r="L40" s="13">
        <v>636</v>
      </c>
    </row>
    <row r="41" spans="1:12" ht="11.25">
      <c r="A41" s="19" t="s">
        <v>34</v>
      </c>
      <c r="B41" s="3"/>
      <c r="C41" s="17"/>
      <c r="D41" s="17"/>
      <c r="E41" s="9"/>
      <c r="F41" s="3"/>
      <c r="G41" s="20"/>
      <c r="H41" s="3"/>
      <c r="I41" s="3"/>
      <c r="J41" s="21"/>
      <c r="K41" s="3"/>
      <c r="L41" s="3"/>
    </row>
    <row r="42" spans="1:12" ht="11.25">
      <c r="A42" s="17" t="s">
        <v>35</v>
      </c>
      <c r="B42" s="17"/>
      <c r="C42" s="22">
        <v>0</v>
      </c>
      <c r="D42" s="22">
        <v>0</v>
      </c>
      <c r="E42" s="9">
        <v>0</v>
      </c>
      <c r="F42" s="11">
        <v>0</v>
      </c>
      <c r="G42" s="10">
        <v>0</v>
      </c>
      <c r="H42" s="11">
        <v>2700</v>
      </c>
      <c r="I42" s="11">
        <v>700</v>
      </c>
      <c r="J42" s="12">
        <v>0</v>
      </c>
      <c r="K42" s="11">
        <v>0</v>
      </c>
      <c r="L42" s="11">
        <v>0</v>
      </c>
    </row>
    <row r="43" spans="1:12" ht="11.25">
      <c r="A43" s="17" t="s">
        <v>36</v>
      </c>
      <c r="B43" s="17"/>
      <c r="C43" s="17">
        <v>357</v>
      </c>
      <c r="D43" s="11">
        <v>357</v>
      </c>
      <c r="E43" s="9">
        <v>357</v>
      </c>
      <c r="F43" s="17">
        <v>357</v>
      </c>
      <c r="G43" s="10">
        <v>357</v>
      </c>
      <c r="H43" s="11">
        <v>327</v>
      </c>
      <c r="I43" s="11">
        <v>297</v>
      </c>
      <c r="J43" s="12">
        <v>267</v>
      </c>
      <c r="K43" s="11">
        <v>207</v>
      </c>
      <c r="L43" s="11">
        <v>614</v>
      </c>
    </row>
    <row r="44" spans="1:12" ht="11.25">
      <c r="A44" s="17" t="s">
        <v>37</v>
      </c>
      <c r="B44" s="17"/>
      <c r="C44" s="23">
        <f aca="true" t="shared" si="8" ref="C44:L44">C42/C13</f>
        <v>0</v>
      </c>
      <c r="D44" s="23">
        <f t="shared" si="8"/>
        <v>0</v>
      </c>
      <c r="E44" s="23">
        <f t="shared" si="8"/>
        <v>0</v>
      </c>
      <c r="F44" s="22">
        <f t="shared" si="8"/>
        <v>0</v>
      </c>
      <c r="G44" s="24">
        <f t="shared" si="8"/>
        <v>0</v>
      </c>
      <c r="H44" s="25">
        <f t="shared" si="8"/>
        <v>0.09583303755235323</v>
      </c>
      <c r="I44" s="25">
        <f t="shared" si="8"/>
        <v>0.024481516455076416</v>
      </c>
      <c r="J44" s="26">
        <f t="shared" si="8"/>
        <v>0</v>
      </c>
      <c r="K44" s="25">
        <f t="shared" si="8"/>
        <v>0</v>
      </c>
      <c r="L44" s="25">
        <f t="shared" si="8"/>
        <v>0</v>
      </c>
    </row>
    <row r="45" spans="1:12" ht="11.25">
      <c r="A45" s="17" t="s">
        <v>38</v>
      </c>
      <c r="B45" s="17"/>
      <c r="C45" s="22">
        <v>0</v>
      </c>
      <c r="D45" s="22">
        <v>0</v>
      </c>
      <c r="E45" s="22">
        <v>0</v>
      </c>
      <c r="F45" s="22">
        <v>0</v>
      </c>
      <c r="G45" s="24">
        <v>0</v>
      </c>
      <c r="H45" s="25">
        <f>+H43/H42</f>
        <v>0.12111111111111111</v>
      </c>
      <c r="I45" s="25">
        <f>+I43/I42</f>
        <v>0.42428571428571427</v>
      </c>
      <c r="J45" s="26">
        <v>0</v>
      </c>
      <c r="K45" s="25">
        <v>0</v>
      </c>
      <c r="L45" s="25">
        <v>0</v>
      </c>
    </row>
    <row r="46" spans="1:12" ht="11.25">
      <c r="A46" s="2" t="s">
        <v>39</v>
      </c>
      <c r="B46" s="2"/>
      <c r="C46" s="27">
        <f>+C43/C13</f>
        <v>0.013164202219845865</v>
      </c>
      <c r="D46" s="27">
        <f>D43/D13</f>
        <v>0.0140203432431371</v>
      </c>
      <c r="E46" s="27">
        <f>E43/E13</f>
        <v>0.014349451344507417</v>
      </c>
      <c r="F46" s="27">
        <f>+F43/F13</f>
        <v>0.014031364225916755</v>
      </c>
      <c r="G46" s="28">
        <f>357/G13</f>
        <v>0.01369652791099175</v>
      </c>
      <c r="H46" s="27">
        <f>327/H13</f>
        <v>0.011606445659118336</v>
      </c>
      <c r="I46" s="27">
        <f>297/I13</f>
        <v>0.010387157695939566</v>
      </c>
      <c r="J46" s="29">
        <f>267/J13</f>
        <v>0.009412345330842176</v>
      </c>
      <c r="K46" s="27">
        <f>207/K13</f>
        <v>0.005784384955010339</v>
      </c>
      <c r="L46" s="27">
        <f>614/L13</f>
        <v>0.020193382884956916</v>
      </c>
    </row>
    <row r="47" spans="1:12" ht="11.25">
      <c r="A47" s="4" t="s">
        <v>40</v>
      </c>
      <c r="C47" s="3"/>
      <c r="D47" s="3"/>
      <c r="E47" s="3"/>
      <c r="F47" s="21"/>
      <c r="G47" s="3"/>
      <c r="H47" s="3"/>
      <c r="I47" s="3"/>
      <c r="J47" s="21"/>
      <c r="K47" s="3"/>
      <c r="L47" s="3"/>
    </row>
    <row r="48" spans="1:12" ht="11.25">
      <c r="A48" s="1" t="s">
        <v>41</v>
      </c>
      <c r="C48" s="25">
        <f aca="true" t="shared" si="9" ref="C48:L48">C25/C13</f>
        <v>0.4132527010582986</v>
      </c>
      <c r="D48" s="25">
        <f t="shared" si="9"/>
        <v>0.41079212975690216</v>
      </c>
      <c r="E48" s="25">
        <f t="shared" si="9"/>
        <v>0.39310261666465696</v>
      </c>
      <c r="F48" s="26">
        <f t="shared" si="9"/>
        <v>0.3364383130920096</v>
      </c>
      <c r="G48" s="25">
        <f t="shared" si="9"/>
        <v>0.4118933435641665</v>
      </c>
      <c r="H48" s="25">
        <f t="shared" si="9"/>
        <v>0.35639241854191805</v>
      </c>
      <c r="I48" s="25">
        <f t="shared" si="9"/>
        <v>0.3218969677893191</v>
      </c>
      <c r="J48" s="26">
        <f t="shared" si="9"/>
        <v>0.2982338632918532</v>
      </c>
      <c r="K48" s="25">
        <f t="shared" si="9"/>
        <v>0.2619460124070866</v>
      </c>
      <c r="L48" s="25">
        <f t="shared" si="9"/>
        <v>0.2764914819443531</v>
      </c>
    </row>
    <row r="49" spans="1:12" ht="11.25">
      <c r="A49" s="2" t="s">
        <v>42</v>
      </c>
      <c r="B49" s="2"/>
      <c r="C49" s="27">
        <f aca="true" t="shared" si="10" ref="C49:L49">C25/(C13+C16)</f>
        <v>0.08917303882174145</v>
      </c>
      <c r="D49" s="27">
        <f t="shared" si="10"/>
        <v>0.08528054527369675</v>
      </c>
      <c r="E49" s="27">
        <f t="shared" si="10"/>
        <v>0.07979244174662228</v>
      </c>
      <c r="F49" s="29">
        <f t="shared" si="10"/>
        <v>0.0656235386113262</v>
      </c>
      <c r="G49" s="27">
        <f t="shared" si="10"/>
        <v>0.09375354763214656</v>
      </c>
      <c r="H49" s="27">
        <f t="shared" si="10"/>
        <v>0.09908034181287127</v>
      </c>
      <c r="I49" s="27">
        <f t="shared" si="10"/>
        <v>0.06822932882622426</v>
      </c>
      <c r="J49" s="29">
        <f t="shared" si="10"/>
        <v>0.06600917574357854</v>
      </c>
      <c r="K49" s="27">
        <f t="shared" si="10"/>
        <v>0.07802303901984285</v>
      </c>
      <c r="L49" s="27">
        <f t="shared" si="10"/>
        <v>0.1177780891005884</v>
      </c>
    </row>
    <row r="50" spans="1:10" ht="11.25">
      <c r="A50" s="4" t="s">
        <v>43</v>
      </c>
      <c r="G50" s="16"/>
      <c r="H50" s="17"/>
      <c r="I50" s="17"/>
      <c r="J50" s="18"/>
    </row>
    <row r="51" spans="1:12" ht="11.25">
      <c r="A51" s="1" t="s">
        <v>44</v>
      </c>
      <c r="C51" s="30">
        <f aca="true" t="shared" si="11" ref="C51:L51">C12/C17</f>
        <v>0.3761230816001911</v>
      </c>
      <c r="D51" s="30">
        <f t="shared" si="11"/>
        <v>0.4488188180600824</v>
      </c>
      <c r="E51" s="30">
        <f t="shared" si="11"/>
        <v>0.4462578630674946</v>
      </c>
      <c r="F51" s="31">
        <f t="shared" si="11"/>
        <v>0.3816810752823878</v>
      </c>
      <c r="G51" s="32">
        <f t="shared" si="11"/>
        <v>0.4755923615694122</v>
      </c>
      <c r="H51" s="25">
        <f t="shared" si="11"/>
        <v>0.5276862506547709</v>
      </c>
      <c r="I51" s="25">
        <f t="shared" si="11"/>
        <v>0.31159284026937134</v>
      </c>
      <c r="J51" s="26">
        <f t="shared" si="11"/>
        <v>0.3663067436734466</v>
      </c>
      <c r="K51" s="31">
        <f t="shared" si="11"/>
        <v>0.41339114325253334</v>
      </c>
      <c r="L51" s="31">
        <f t="shared" si="11"/>
        <v>0.6353763699655417</v>
      </c>
    </row>
    <row r="52" spans="1:12" ht="11.25">
      <c r="A52" s="1" t="s">
        <v>45</v>
      </c>
      <c r="C52" s="30">
        <f aca="true" t="shared" si="12" ref="C52:L52">C12/C11</f>
        <v>0.3506189208611249</v>
      </c>
      <c r="D52" s="30">
        <f t="shared" si="12"/>
        <v>0.41191993395850146</v>
      </c>
      <c r="E52" s="30">
        <f t="shared" si="12"/>
        <v>0.410012600607247</v>
      </c>
      <c r="F52" s="31">
        <f t="shared" si="12"/>
        <v>0.3491869527566631</v>
      </c>
      <c r="G52" s="32">
        <f t="shared" si="12"/>
        <v>0.4301489347363557</v>
      </c>
      <c r="H52" s="25">
        <f t="shared" si="12"/>
        <v>0.472457979697121</v>
      </c>
      <c r="I52" s="25">
        <f t="shared" si="12"/>
        <v>0.2753058088097859</v>
      </c>
      <c r="J52" s="26">
        <f t="shared" si="12"/>
        <v>0.33154707489658725</v>
      </c>
      <c r="K52" s="31">
        <f t="shared" si="12"/>
        <v>0.3726996488474348</v>
      </c>
      <c r="L52" s="31">
        <f t="shared" si="12"/>
        <v>0.5911295343578988</v>
      </c>
    </row>
    <row r="53" spans="1:12" ht="11.25">
      <c r="A53" s="2" t="s">
        <v>46</v>
      </c>
      <c r="B53" s="2"/>
      <c r="C53" s="33">
        <f aca="true" t="shared" si="13" ref="C53:L53">(C12+C16)/C17</f>
        <v>0.9111740851126203</v>
      </c>
      <c r="D53" s="33">
        <f t="shared" si="13"/>
        <v>0.9399428990121024</v>
      </c>
      <c r="E53" s="33">
        <f t="shared" si="13"/>
        <v>0.9406328915339497</v>
      </c>
      <c r="F53" s="27">
        <f t="shared" si="13"/>
        <v>0.9338255400601586</v>
      </c>
      <c r="G53" s="28">
        <f t="shared" si="13"/>
        <v>0.946330870925851</v>
      </c>
      <c r="H53" s="27">
        <f t="shared" si="13"/>
        <v>0.9398004990340368</v>
      </c>
      <c r="I53" s="27">
        <f t="shared" si="13"/>
        <v>0.9362769870838084</v>
      </c>
      <c r="J53" s="29">
        <f t="shared" si="13"/>
        <v>0.9231941073072738</v>
      </c>
      <c r="K53" s="27">
        <f t="shared" si="13"/>
        <v>0.8841178965224766</v>
      </c>
      <c r="L53" s="27">
        <f t="shared" si="13"/>
        <v>0.8759032820470676</v>
      </c>
    </row>
    <row r="54" spans="1:10" ht="11.25">
      <c r="A54" s="4" t="s">
        <v>47</v>
      </c>
      <c r="G54" s="16"/>
      <c r="H54" s="17"/>
      <c r="I54" s="17"/>
      <c r="J54" s="18"/>
    </row>
    <row r="55" spans="1:12" ht="11.25">
      <c r="A55" s="1" t="s">
        <v>48</v>
      </c>
      <c r="B55" s="17"/>
      <c r="C55" s="34">
        <f>C40/C28</f>
        <v>0.025180065781256505</v>
      </c>
      <c r="D55" s="34">
        <f>(D40/0.75)/D28</f>
        <v>0.02771478062108252</v>
      </c>
      <c r="E55" s="31">
        <f>(E40/0.5)/E28</f>
        <v>0.024360498085184062</v>
      </c>
      <c r="F55" s="31">
        <f>((F40)/0.25)/F28</f>
        <v>0.024407880744765183</v>
      </c>
      <c r="G55" s="35">
        <f>G40/G28</f>
        <v>0.025270927353541552</v>
      </c>
      <c r="H55" s="34">
        <f>(H40/0.75)/H28</f>
        <v>0.033087668818611644</v>
      </c>
      <c r="I55" s="34">
        <f>(I40/0.5)/I28</f>
        <v>0.026545660805445265</v>
      </c>
      <c r="J55" s="26">
        <f>((J40)/0.25)/J28</f>
        <v>0.025440322170018747</v>
      </c>
      <c r="K55" s="31">
        <f>K40/K28</f>
        <v>0.01587268436331739</v>
      </c>
      <c r="L55" s="31">
        <f>L40/L28</f>
        <v>0.007521820375144878</v>
      </c>
    </row>
    <row r="56" spans="1:12" ht="11.25">
      <c r="A56" s="1" t="s">
        <v>49</v>
      </c>
      <c r="B56" s="17"/>
      <c r="C56" s="34">
        <f>C40/C27</f>
        <v>0.014920659982632036</v>
      </c>
      <c r="D56" s="34">
        <f>(D40/0.75)/D27</f>
        <v>0.014998103493678715</v>
      </c>
      <c r="E56" s="31">
        <f>(E40/0.5)/E27</f>
        <v>0.015384879548069164</v>
      </c>
      <c r="F56" s="31">
        <f>((F40)/0.25)/F27</f>
        <v>0.015552429081465457</v>
      </c>
      <c r="G56" s="35">
        <f>G40/G27</f>
        <v>0.014587371714766454</v>
      </c>
      <c r="H56" s="34">
        <f>(H40/0.75)/H27</f>
        <v>0.016502479430184375</v>
      </c>
      <c r="I56" s="34">
        <f>(I40/0.5)/I27</f>
        <v>0.016074146094014204</v>
      </c>
      <c r="J56" s="26">
        <f>((J40)/0.25)/J27</f>
        <v>0.014595632464128365</v>
      </c>
      <c r="K56" s="31">
        <f>K40/K27</f>
        <v>0.007960699284584524</v>
      </c>
      <c r="L56" s="31">
        <f>L40/L27</f>
        <v>0.0038148479159293893</v>
      </c>
    </row>
    <row r="57" spans="1:12" ht="11.25">
      <c r="A57" s="1" t="s">
        <v>50</v>
      </c>
      <c r="B57" s="17"/>
      <c r="C57" s="34">
        <f>+C40/C31</f>
        <v>0.27562320557808867</v>
      </c>
      <c r="D57" s="34">
        <f>(D40/0.75)/D31</f>
        <v>0.302814496853812</v>
      </c>
      <c r="E57" s="31">
        <f>(E40/0.5)/E31</f>
        <v>0.3303834808259587</v>
      </c>
      <c r="F57" s="31">
        <f>((F40)/0.25)/F31</f>
        <v>0.37085781433607523</v>
      </c>
      <c r="G57" s="35">
        <f>+G40/G31</f>
        <v>0.29487817006464445</v>
      </c>
      <c r="H57" s="34">
        <f>(H40/0.75)/H31</f>
        <v>0.3382714738313953</v>
      </c>
      <c r="I57" s="34">
        <f>(I40/0.5)/I31</f>
        <v>0.3530435791794812</v>
      </c>
      <c r="J57" s="26">
        <f>((J40)/0.25)/J31</f>
        <v>0.33331311783613315</v>
      </c>
      <c r="K57" s="31">
        <f>K40/K31</f>
        <v>0.17096901186659919</v>
      </c>
      <c r="L57" s="31">
        <f>L40/L31</f>
        <v>0.0719253604749788</v>
      </c>
    </row>
    <row r="58" spans="1:12" ht="11.25">
      <c r="A58" s="1" t="s">
        <v>51</v>
      </c>
      <c r="B58" s="17"/>
      <c r="C58" s="34">
        <f>C33/C28</f>
        <v>0.11153670011241101</v>
      </c>
      <c r="D58" s="34">
        <f>(D33/0.75)/D28</f>
        <v>0.12537128639201892</v>
      </c>
      <c r="E58" s="31">
        <f>(E33/0.5)/E28</f>
        <v>0.11227890284542424</v>
      </c>
      <c r="F58" s="31">
        <f>((F33)/0.25)/F28</f>
        <v>0.11303725759362734</v>
      </c>
      <c r="G58" s="35">
        <f>G33/G28</f>
        <v>0.1274455907984846</v>
      </c>
      <c r="H58" s="34">
        <f>(H33/0.75)/H28</f>
        <v>0.15701753930372547</v>
      </c>
      <c r="I58" s="34">
        <f>(I33/0.5)/I28</f>
        <v>0.13237924865831843</v>
      </c>
      <c r="J58" s="26">
        <f>((J33)/0.25)/J28</f>
        <v>0.1384960770245562</v>
      </c>
      <c r="K58" s="31">
        <f>K33/K28</f>
        <v>0.126114742799858</v>
      </c>
      <c r="L58" s="31">
        <f>L33/L27</f>
        <v>0.06692778780808196</v>
      </c>
    </row>
    <row r="59" spans="1:12" ht="11.25">
      <c r="A59" s="1" t="s">
        <v>52</v>
      </c>
      <c r="B59" s="17"/>
      <c r="C59" s="34">
        <f>C34/C28</f>
        <v>0.0939922561305633</v>
      </c>
      <c r="D59" s="34">
        <f>(D34/0.75)/D28</f>
        <v>0.10620427745733554</v>
      </c>
      <c r="E59" s="31">
        <f>(E34/0.5)/E28</f>
        <v>0.09588838914652809</v>
      </c>
      <c r="F59" s="31">
        <f>((F34)/0.25)/F28</f>
        <v>0.09825022718044894</v>
      </c>
      <c r="G59" s="35">
        <f>G34/G28</f>
        <v>0.10283094047908224</v>
      </c>
      <c r="H59" s="34">
        <f>(H34/0.75)/H28</f>
        <v>0.12283571986281568</v>
      </c>
      <c r="I59" s="34">
        <f>(I34/0.5)/I28</f>
        <v>0.10265718399581134</v>
      </c>
      <c r="J59" s="26">
        <f>((J34)/0.25)/J28</f>
        <v>0.10613095100330965</v>
      </c>
      <c r="K59" s="31">
        <f>K34/K28</f>
        <v>0.10882187088824377</v>
      </c>
      <c r="L59" s="31">
        <f>L34/L27</f>
        <v>0.061001577523587876</v>
      </c>
    </row>
    <row r="60" spans="1:12" ht="11.25">
      <c r="A60" s="1" t="s">
        <v>53</v>
      </c>
      <c r="B60" s="17"/>
      <c r="C60" s="34">
        <f>C35/C28</f>
        <v>0.017544443981847704</v>
      </c>
      <c r="D60" s="34">
        <f>(D35/0.75)/D28</f>
        <v>0.019167008934683358</v>
      </c>
      <c r="E60" s="31">
        <f>(E35/0.5)/E28</f>
        <v>0.016390513698896166</v>
      </c>
      <c r="F60" s="31">
        <f>((F35)/0.25)/F28</f>
        <v>0.014787030413178399</v>
      </c>
      <c r="G60" s="35">
        <f>G35/G28</f>
        <v>0.02461465031940236</v>
      </c>
      <c r="H60" s="34">
        <f>(H35/0.75)/H28</f>
        <v>0.034181819440909804</v>
      </c>
      <c r="I60" s="34">
        <f>(I35/0.5)/I28</f>
        <v>0.02972206466250709</v>
      </c>
      <c r="J60" s="26">
        <f>((J35)/0.25)/J28</f>
        <v>0.032365126021246554</v>
      </c>
      <c r="K60" s="31">
        <f>K35/K28</f>
        <v>0.01729287191161421</v>
      </c>
      <c r="L60" s="31">
        <f>L35/L27</f>
        <v>0.005926210284494083</v>
      </c>
    </row>
    <row r="61" spans="1:12" ht="11.25">
      <c r="A61" s="1" t="s">
        <v>54</v>
      </c>
      <c r="B61" s="17"/>
      <c r="C61" s="34">
        <f>C38/C37</f>
        <v>0.35009671179883944</v>
      </c>
      <c r="D61" s="34">
        <f>(D38/0.75)/(D37/0.75)</f>
        <v>0.34459459459459457</v>
      </c>
      <c r="E61" s="31">
        <f>(E38/0.5)/(E37/0.5)</f>
        <v>0.3482959268495428</v>
      </c>
      <c r="F61" s="31">
        <f>(F38/0.25)/(F37/0.25)</f>
        <v>0.34522821576763485</v>
      </c>
      <c r="G61" s="35">
        <f>G38/G37</f>
        <v>0.44925742574257427</v>
      </c>
      <c r="H61" s="34">
        <f>(H38/0.75)/(H37/0.75)</f>
        <v>0.4725104879664385</v>
      </c>
      <c r="I61" s="34">
        <f>(I38/0.5)/(I37/0.5)</f>
        <v>0.4991768192295028</v>
      </c>
      <c r="J61" s="26">
        <f>(J38/0.25)/(J37/0.25)</f>
        <v>0.4945872801082544</v>
      </c>
      <c r="K61" s="31">
        <f>K38/K37</f>
        <v>0.5114213197969543</v>
      </c>
      <c r="L61" s="31">
        <f>L38/L37</f>
        <v>0.363953488372093</v>
      </c>
    </row>
    <row r="62" spans="1:12" ht="11.25">
      <c r="A62" s="2" t="s">
        <v>55</v>
      </c>
      <c r="B62" s="2"/>
      <c r="C62" s="36">
        <f>C36/C28</f>
        <v>0.021199883425621385</v>
      </c>
      <c r="D62" s="36">
        <f>(D36/0.75)/D28</f>
        <v>0.02311946046655595</v>
      </c>
      <c r="E62" s="27">
        <f>(E36/0.5)/E28</f>
        <v>0.02098917915375234</v>
      </c>
      <c r="F62" s="27">
        <f>(F36/0.25)/F28</f>
        <v>0.02248989772046171</v>
      </c>
      <c r="G62" s="37">
        <f>G36/G28</f>
        <v>0.023591880915549077</v>
      </c>
      <c r="H62" s="36">
        <f>(H36/0.75)/H28</f>
        <v>0.02854486623489267</v>
      </c>
      <c r="I62" s="36">
        <f>(I36/0.5)/I28</f>
        <v>0.023281993106156463</v>
      </c>
      <c r="J62" s="29">
        <f>(J36/0.25)/J28</f>
        <v>0.022366746129099453</v>
      </c>
      <c r="K62" s="27">
        <f>K36/K28</f>
        <v>0.015622063031265012</v>
      </c>
      <c r="L62" s="27">
        <f>L36/L27</f>
        <v>0.01470755831738815</v>
      </c>
    </row>
    <row r="63" spans="1:10" ht="11.25">
      <c r="A63" s="4" t="s">
        <v>56</v>
      </c>
      <c r="G63" s="16"/>
      <c r="H63" s="17"/>
      <c r="I63" s="17"/>
      <c r="J63" s="18"/>
    </row>
    <row r="64" spans="1:12" ht="11.25">
      <c r="A64" s="1" t="s">
        <v>57</v>
      </c>
      <c r="C64" s="9">
        <v>23</v>
      </c>
      <c r="D64" s="9">
        <v>23</v>
      </c>
      <c r="E64" s="9">
        <v>23</v>
      </c>
      <c r="F64" s="1">
        <v>23</v>
      </c>
      <c r="G64" s="10">
        <f>19+3</f>
        <v>22</v>
      </c>
      <c r="H64" s="11">
        <f>19+3</f>
        <v>22</v>
      </c>
      <c r="I64" s="11">
        <f>20+3</f>
        <v>23</v>
      </c>
      <c r="J64" s="12">
        <v>23</v>
      </c>
      <c r="K64" s="9">
        <v>24</v>
      </c>
      <c r="L64" s="9">
        <v>22</v>
      </c>
    </row>
    <row r="65" spans="1:12" ht="11.25">
      <c r="A65" s="1" t="s">
        <v>58</v>
      </c>
      <c r="C65" s="9">
        <v>1</v>
      </c>
      <c r="D65" s="9">
        <v>1</v>
      </c>
      <c r="E65" s="9">
        <v>1</v>
      </c>
      <c r="F65" s="1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4" ref="C66:L66">C13/C64</f>
        <v>1179.0869565217392</v>
      </c>
      <c r="D66" s="9">
        <f t="shared" si="14"/>
        <v>1107.0869565217392</v>
      </c>
      <c r="E66" s="9">
        <f t="shared" si="14"/>
        <v>1081.695652173913</v>
      </c>
      <c r="F66" s="9">
        <f t="shared" si="14"/>
        <v>1106.2173913043478</v>
      </c>
      <c r="G66" s="10">
        <f t="shared" si="14"/>
        <v>1184.7727272727273</v>
      </c>
      <c r="H66" s="11">
        <f t="shared" si="14"/>
        <v>1280.6363636363637</v>
      </c>
      <c r="I66" s="11">
        <f t="shared" si="14"/>
        <v>1243.1739130434783</v>
      </c>
      <c r="J66" s="12">
        <f t="shared" si="14"/>
        <v>1233.3478260869565</v>
      </c>
      <c r="K66" s="9">
        <f t="shared" si="14"/>
        <v>1491.0833333333333</v>
      </c>
      <c r="L66" s="9">
        <f t="shared" si="14"/>
        <v>1382.090909090909</v>
      </c>
    </row>
    <row r="67" spans="1:12" ht="11.25">
      <c r="A67" s="1" t="s">
        <v>60</v>
      </c>
      <c r="C67" s="9">
        <f aca="true" t="shared" si="15" ref="C67:L67">+C17/C64</f>
        <v>8008.826086956522</v>
      </c>
      <c r="D67" s="9">
        <f t="shared" si="15"/>
        <v>8604.130434782608</v>
      </c>
      <c r="E67" s="9">
        <f t="shared" si="15"/>
        <v>8591.347826086956</v>
      </c>
      <c r="F67" s="9">
        <f t="shared" si="15"/>
        <v>8268</v>
      </c>
      <c r="G67" s="10">
        <f t="shared" si="15"/>
        <v>8540.545454545454</v>
      </c>
      <c r="H67" s="11">
        <f t="shared" si="15"/>
        <v>8070.136363636364</v>
      </c>
      <c r="I67" s="11">
        <f t="shared" si="15"/>
        <v>7398.869565217391</v>
      </c>
      <c r="J67" s="12">
        <f t="shared" si="15"/>
        <v>7791.521739130435</v>
      </c>
      <c r="K67" s="9">
        <f t="shared" si="15"/>
        <v>7467</v>
      </c>
      <c r="L67" s="9">
        <f t="shared" si="15"/>
        <v>7743.227272727273</v>
      </c>
    </row>
    <row r="68" spans="1:12" ht="11.25">
      <c r="A68" s="2" t="s">
        <v>61</v>
      </c>
      <c r="B68" s="2"/>
      <c r="C68" s="13">
        <f aca="true" t="shared" si="16" ref="C68:L68">+C40/C64</f>
        <v>131.47826086956522</v>
      </c>
      <c r="D68" s="13">
        <f t="shared" si="16"/>
        <v>101.21739130434783</v>
      </c>
      <c r="E68" s="13">
        <f t="shared" si="16"/>
        <v>68.17391304347827</v>
      </c>
      <c r="F68" s="13">
        <f t="shared" si="16"/>
        <v>34.30434782608695</v>
      </c>
      <c r="G68" s="14">
        <f t="shared" si="16"/>
        <v>134.77272727272728</v>
      </c>
      <c r="H68" s="13">
        <f t="shared" si="16"/>
        <v>108.5909090909091</v>
      </c>
      <c r="I68" s="13">
        <f t="shared" si="16"/>
        <v>66.1304347826087</v>
      </c>
      <c r="J68" s="15">
        <f t="shared" si="16"/>
        <v>29.869565217391305</v>
      </c>
      <c r="K68" s="13">
        <f t="shared" si="16"/>
        <v>63.333333333333336</v>
      </c>
      <c r="L68" s="13">
        <f t="shared" si="16"/>
        <v>28.90909090909091</v>
      </c>
    </row>
    <row r="69" spans="1:12" ht="11.25">
      <c r="A69" s="4" t="s">
        <v>62</v>
      </c>
      <c r="G69" s="24"/>
      <c r="H69" s="22"/>
      <c r="I69" s="22"/>
      <c r="J69" s="38"/>
      <c r="K69" s="23"/>
      <c r="L69" s="23"/>
    </row>
    <row r="70" spans="1:12" ht="11.25">
      <c r="A70" s="1" t="s">
        <v>63</v>
      </c>
      <c r="C70" s="31">
        <f>(C11/G11)-1</f>
        <v>-0.04881054384765715</v>
      </c>
      <c r="D70" s="31">
        <f>(D11/H11)-1</f>
        <v>0.08736894658012972</v>
      </c>
      <c r="E70" s="31">
        <f>(E11/I11)-1</f>
        <v>0.11663828373242513</v>
      </c>
      <c r="F70" s="31">
        <f>+(F11/J11)-1</f>
        <v>0.04983509518013274</v>
      </c>
      <c r="G70" s="32">
        <f>+(G11/K11)-1</f>
        <v>0.045116564540634174</v>
      </c>
      <c r="H70" s="25">
        <f>+(H11/187746)-1</f>
        <v>0.05619826787255122</v>
      </c>
      <c r="I70" s="25">
        <f>+(I11/185892)-1</f>
        <v>0.03610698685258096</v>
      </c>
      <c r="J70" s="26">
        <f>+(J11/178558)-1</f>
        <v>0.1088441850827182</v>
      </c>
      <c r="K70" s="31">
        <f>+(K11/L11)-1</f>
        <v>0.08559163744797971</v>
      </c>
      <c r="L70" s="31">
        <f>(L11/150332)-1</f>
        <v>0.21798419498177357</v>
      </c>
    </row>
    <row r="71" spans="1:12" ht="11.25">
      <c r="A71" s="1" t="s">
        <v>64</v>
      </c>
      <c r="C71" s="31">
        <f>(C13/G13)-1</f>
        <v>0.04043736811816623</v>
      </c>
      <c r="D71" s="31">
        <f>(D13/H13)-1</f>
        <v>-0.09622346844608509</v>
      </c>
      <c r="E71" s="31">
        <f>(E13/I13)-1</f>
        <v>-0.12989193159164836</v>
      </c>
      <c r="F71" s="31">
        <f aca="true" t="shared" si="17" ref="F71:L71">SUM(F72:F73)</f>
        <v>-0.10307751965311807</v>
      </c>
      <c r="G71" s="32">
        <f t="shared" si="17"/>
        <v>-0.2716425417761136</v>
      </c>
      <c r="H71" s="25">
        <f t="shared" si="17"/>
        <v>-0.33879371039662054</v>
      </c>
      <c r="I71" s="25">
        <f t="shared" si="17"/>
        <v>-0.3141520748380907</v>
      </c>
      <c r="J71" s="26">
        <f t="shared" si="17"/>
        <v>-0.19571874113977883</v>
      </c>
      <c r="K71" s="31">
        <f t="shared" si="17"/>
        <v>0.17693876208643022</v>
      </c>
      <c r="L71" s="31">
        <f t="shared" si="17"/>
        <v>-0.16748350354571095</v>
      </c>
    </row>
    <row r="72" spans="2:12" ht="11.25">
      <c r="B72" s="1" t="s">
        <v>15</v>
      </c>
      <c r="C72" s="31">
        <v>0</v>
      </c>
      <c r="D72" s="31">
        <v>0</v>
      </c>
      <c r="E72" s="31">
        <v>0</v>
      </c>
      <c r="F72" s="31">
        <v>0</v>
      </c>
      <c r="G72" s="32">
        <v>0</v>
      </c>
      <c r="H72" s="25">
        <v>0</v>
      </c>
      <c r="I72" s="25">
        <v>0</v>
      </c>
      <c r="J72" s="26">
        <v>0</v>
      </c>
      <c r="K72" s="31">
        <v>0</v>
      </c>
      <c r="L72" s="31">
        <v>0</v>
      </c>
    </row>
    <row r="73" spans="2:12" ht="11.25">
      <c r="B73" s="1" t="s">
        <v>16</v>
      </c>
      <c r="C73" s="31">
        <f>(C15/G15)-1</f>
        <v>0.04043736811816623</v>
      </c>
      <c r="D73" s="31">
        <f>(D15/H15)-1</f>
        <v>-0.09622346844608509</v>
      </c>
      <c r="E73" s="31">
        <f>(E15/I15)-1</f>
        <v>-0.12989193159164836</v>
      </c>
      <c r="F73" s="31">
        <f>+(F15/J15)-1</f>
        <v>-0.10307751965311807</v>
      </c>
      <c r="G73" s="32">
        <f>+(G15/K15)-1</f>
        <v>-0.2716425417761136</v>
      </c>
      <c r="H73" s="25">
        <f>+(H15/42610)-1</f>
        <v>-0.33879371039662054</v>
      </c>
      <c r="I73" s="25">
        <f>+(I15/41690)-1</f>
        <v>-0.3141520748380907</v>
      </c>
      <c r="J73" s="26">
        <f>+(J15/35270)-1</f>
        <v>-0.19571874113977883</v>
      </c>
      <c r="K73" s="31">
        <f>+(K15/L15)-1</f>
        <v>0.17693876208643022</v>
      </c>
      <c r="L73" s="31">
        <f>+(L15/36523)-1</f>
        <v>-0.16748350354571095</v>
      </c>
    </row>
    <row r="74" spans="1:12" ht="11.25">
      <c r="A74" s="1" t="s">
        <v>65</v>
      </c>
      <c r="C74" s="31">
        <f>(C17/G17)-1</f>
        <v>-0.019633619313222495</v>
      </c>
      <c r="D74" s="31">
        <f>(D17/H17)-1</f>
        <v>0.11463138507291193</v>
      </c>
      <c r="E74" s="31">
        <f>(E17/I17)-1</f>
        <v>0.16117033154300886</v>
      </c>
      <c r="F74" s="31">
        <f aca="true" t="shared" si="18" ref="F74:L74">SUM(F75:F76)</f>
        <v>0.06115342763873777</v>
      </c>
      <c r="G74" s="32">
        <f t="shared" si="18"/>
        <v>0.048457658140261595</v>
      </c>
      <c r="H74" s="25">
        <f t="shared" si="18"/>
        <v>0.036807988787666446</v>
      </c>
      <c r="I74" s="25">
        <f t="shared" si="18"/>
        <v>0.005631688738395368</v>
      </c>
      <c r="J74" s="26">
        <f t="shared" si="18"/>
        <v>0.08695388459928788</v>
      </c>
      <c r="K74" s="31">
        <f t="shared" si="18"/>
        <v>0.05199265046873802</v>
      </c>
      <c r="L74" s="31">
        <f t="shared" si="18"/>
        <v>0.23166966719447046</v>
      </c>
    </row>
    <row r="75" spans="2:12" ht="11.25">
      <c r="B75" s="1" t="s">
        <v>15</v>
      </c>
      <c r="C75" s="31">
        <v>0</v>
      </c>
      <c r="D75" s="31">
        <v>0</v>
      </c>
      <c r="E75" s="31">
        <v>0</v>
      </c>
      <c r="F75" s="31">
        <v>0</v>
      </c>
      <c r="G75" s="32">
        <v>0</v>
      </c>
      <c r="H75" s="25">
        <v>0</v>
      </c>
      <c r="I75" s="25">
        <v>0</v>
      </c>
      <c r="J75" s="26">
        <v>0</v>
      </c>
      <c r="K75" s="31">
        <v>0</v>
      </c>
      <c r="L75" s="31">
        <v>0</v>
      </c>
    </row>
    <row r="76" spans="2:12" ht="11.25">
      <c r="B76" s="1" t="s">
        <v>16</v>
      </c>
      <c r="C76" s="31">
        <f>(C22/G22)-1</f>
        <v>-0.019633619313222495</v>
      </c>
      <c r="D76" s="31">
        <f>(D22/H22)-1</f>
        <v>0.11463138507291193</v>
      </c>
      <c r="E76" s="31">
        <f>(E22/I22)-1</f>
        <v>0.16117033154300886</v>
      </c>
      <c r="F76" s="31">
        <f>+(F22/J22)-1</f>
        <v>0.06115342763873777</v>
      </c>
      <c r="G76" s="32">
        <f>+(G22/K22)-1</f>
        <v>0.048457658140261595</v>
      </c>
      <c r="H76" s="25">
        <f>+(H22/171240)-1</f>
        <v>0.036807988787666446</v>
      </c>
      <c r="I76" s="25">
        <f>+(I22/169221)-1</f>
        <v>0.005631688738395368</v>
      </c>
      <c r="J76" s="26">
        <f>+(J22/164869)-1</f>
        <v>0.08695388459928788</v>
      </c>
      <c r="K76" s="31">
        <f>+(K22/L22)-1</f>
        <v>0.05199265046873802</v>
      </c>
      <c r="L76" s="31">
        <f>+(L22/138309)-1</f>
        <v>0.23166966719447046</v>
      </c>
    </row>
    <row r="77" spans="1:12" ht="11.25">
      <c r="A77" s="1" t="s">
        <v>66</v>
      </c>
      <c r="C77" s="31">
        <f>(C25/G25)-1</f>
        <v>0.04387108792846495</v>
      </c>
      <c r="D77" s="31">
        <f>(D25/H25)-1</f>
        <v>0.04172891146300173</v>
      </c>
      <c r="E77" s="31">
        <f>(E25/I25)-1</f>
        <v>0.0625814863102998</v>
      </c>
      <c r="F77" s="25">
        <f>+(F25/J25)-1</f>
        <v>0.011820330969267046</v>
      </c>
      <c r="G77" s="32">
        <f>+(G25/K25)-1</f>
        <v>0.14529549818647314</v>
      </c>
      <c r="H77" s="25">
        <f>+(H25/8792)-1</f>
        <v>0.14206096451319383</v>
      </c>
      <c r="I77" s="25">
        <f>+(I25/8029)-1</f>
        <v>0.14634450118321096</v>
      </c>
      <c r="J77" s="26">
        <f>+(J25/8029)-1</f>
        <v>0.05368040851911826</v>
      </c>
      <c r="K77" s="25">
        <f>+(K25/L25)-1</f>
        <v>0.11502319495658386</v>
      </c>
      <c r="L77" s="25">
        <f>(L25/9278)-1</f>
        <v>-0.09387799094632465</v>
      </c>
    </row>
    <row r="78" spans="1:12" ht="11.25">
      <c r="A78" s="2" t="s">
        <v>67</v>
      </c>
      <c r="B78" s="2"/>
      <c r="C78" s="27">
        <f>(C40/G40)-1</f>
        <v>0.019898819561551484</v>
      </c>
      <c r="D78" s="27">
        <f>(D40/H40)-1</f>
        <v>-0.025533696107157833</v>
      </c>
      <c r="E78" s="27">
        <f>(E40/I40)-1</f>
        <v>0.030900723208415526</v>
      </c>
      <c r="F78" s="27">
        <f>+(F40/J40)-1</f>
        <v>0.14847161572052392</v>
      </c>
      <c r="G78" s="28">
        <f>+(G40/K40)-1</f>
        <v>0.950657894736842</v>
      </c>
      <c r="H78" s="27">
        <f>+(H40/1023)-1</f>
        <v>1.3352883675464322</v>
      </c>
      <c r="I78" s="27">
        <f>+(I40/532)-1</f>
        <v>1.8590225563909772</v>
      </c>
      <c r="J78" s="29">
        <f>+(J40/259)-1</f>
        <v>1.6525096525096523</v>
      </c>
      <c r="K78" s="27">
        <f>+(K40/L40)-1</f>
        <v>1.389937106918239</v>
      </c>
      <c r="L78" s="27">
        <f>+(L40/1507)-1</f>
        <v>-0.5779694757796947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11268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2002-03-19T18:08:15Z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