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nt Union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<sst xmlns="http://schemas.openxmlformats.org/spreadsheetml/2006/main" count="85" uniqueCount="69">
  <si>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CUADRO No. 19-16</t>
  </si>
  <si>
    <t>INTERNATIONAL UNION BANK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</si>
  <si>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</si>
  <si>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</si>
  <si>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</si>
  <si>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</si>
  <si>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</si>
  <si>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</si>
  <si>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</si>
  <si>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</si>
  <si>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</si>
  <si>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</si>
  <si>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</si>
  <si>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</si>
  <si>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</si>
  <si>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</si>
  <si>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</si>
  <si>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</si>
  <si>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</si>
  <si>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</si>
  <si>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</si>
  <si>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</si>
  <si>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</si>
  <si>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</si>
  <si>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</si>
  <si>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</si>
  <si>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</si>
  <si>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</si>
  <si>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</si>
  <si>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</si>
  <si>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</si>
  <si>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</si>
  <si>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</si>
  <si>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</si>
  <si>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</si>
  <si>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</si>
  <si>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 Provisiones para Préstamos</t>
  </si>
  <si>
    <t xml:space="preserve">  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</si>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</sst>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15" applyFont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0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3" xfId="19" applyNumberFormat="1" applyFont="1" applyBorder="1" applyAlignment="1">
      <alignment/>
    </xf>
    <xf numFmtId="182" fontId="2" fillId="0" borderId="0" xfId="19" applyNumberFormat="1" applyFont="1" applyBorder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79" fontId="2" fillId="0" borderId="3" xfId="15" applyNumberFormat="1" applyFont="1" applyBorder="1" applyAlignment="1">
      <alignment horizontal="center"/>
    </xf>
    <xf numFmtId="179" fontId="2" fillId="0" borderId="0" xfId="15" applyNumberFormat="1" applyFont="1" applyBorder="1" applyAlignment="1">
      <alignment horizontal="center"/>
    </xf>
    <xf numFmtId="179" fontId="2" fillId="0" borderId="4" xfId="15" applyNumberFormat="1" applyFont="1" applyBorder="1" applyAlignment="1">
      <alignment horizontal="center"/>
    </xf>
    <xf numFmtId="179" fontId="2" fillId="0" borderId="1" xfId="15" applyNumberFormat="1" applyFont="1" applyBorder="1" applyAlignment="1">
      <alignment horizontal="center"/>
    </xf>
    <xf numFmtId="179" fontId="2" fillId="0" borderId="5" xfId="15" applyNumberFormat="1" applyFont="1" applyBorder="1" applyAlignment="1">
      <alignment horizontal="center"/>
    </xf>
    <xf numFmtId="179" fontId="2" fillId="0" borderId="6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11.421875" defaultRowHeight="12.75"/>
  <cols>
    <col min="1" max="1" width="3.7109375" style="1" customWidth="1"/>
    <col min="2" max="2" width="40.00390625" style="1" customWidth="1"/>
    <col min="3" max="3" width="8.8515625" style="1" customWidth="1"/>
    <col min="4" max="4" width="9.7109375" style="1" customWidth="1"/>
    <col min="5" max="5" width="7.7109375" style="1" bestFit="1" customWidth="1"/>
    <col min="6" max="6" width="8.00390625" style="1" bestFit="1" customWidth="1"/>
    <col min="7" max="7" width="8.57421875" style="1" customWidth="1"/>
    <col min="8" max="8" width="10.140625" style="1" customWidth="1"/>
    <col min="9" max="10" width="8.57421875" style="1" bestFit="1" customWidth="1"/>
    <col min="11" max="11" width="7.7109375" style="1" bestFit="1" customWidth="1"/>
    <col min="12" max="12" width="5.8515625" style="1" hidden="1" customWidth="1"/>
    <col min="13" max="16384" width="11.421875" style="1" customWidth="1"/>
  </cols>
  <sheetData>
    <row r="1" ht="11.25"/>
    <row r="2" spans="2:12" ht="11.25">
      <c r="B2" s="49"/>
      <c r="C2" s="49"/>
      <c r="D2" s="49"/>
      <c r="E2" s="49"/>
      <c r="F2" s="49" t="s">
        <v>0</v>
      </c>
      <c r="H2" s="49"/>
      <c r="I2" s="49"/>
      <c r="J2" s="49"/>
      <c r="K2" s="49"/>
      <c r="L2" s="49"/>
    </row>
    <row r="3" spans="2:12" ht="11.25">
      <c r="B3" s="49"/>
      <c r="C3" s="49"/>
      <c r="D3" s="49"/>
      <c r="E3" s="49"/>
      <c r="F3" s="49" t="s">
        <v>1</v>
      </c>
      <c r="H3" s="49"/>
      <c r="I3" s="49"/>
      <c r="J3" s="49"/>
      <c r="K3" s="49"/>
      <c r="L3" s="49"/>
    </row>
    <row r="4" spans="2:12" ht="11.25">
      <c r="B4" s="49"/>
      <c r="C4" s="49"/>
      <c r="D4" s="49"/>
      <c r="E4" s="49"/>
      <c r="F4" s="49" t="s">
        <v>2</v>
      </c>
      <c r="H4" s="49"/>
      <c r="I4" s="49"/>
      <c r="J4" s="49"/>
      <c r="K4" s="49"/>
      <c r="L4" s="49"/>
    </row>
    <row r="5" spans="2:12" ht="11.25">
      <c r="B5" s="48"/>
      <c r="C5" s="48"/>
      <c r="D5" s="48"/>
      <c r="E5" s="48"/>
      <c r="F5" s="48" t="s">
        <v>3</v>
      </c>
      <c r="H5" s="48"/>
      <c r="I5" s="48"/>
      <c r="J5" s="48"/>
      <c r="K5" s="48"/>
      <c r="L5" s="48"/>
    </row>
    <row r="6" spans="1:12" ht="11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6">
        <v>2001</v>
      </c>
      <c r="D8" s="56"/>
      <c r="E8" s="56"/>
      <c r="F8" s="57"/>
      <c r="G8" s="55">
        <v>2000</v>
      </c>
      <c r="H8" s="56"/>
      <c r="I8" s="56"/>
      <c r="J8" s="57"/>
      <c r="K8" s="56" t="s">
        <v>4</v>
      </c>
      <c r="L8" s="56"/>
    </row>
    <row r="9" spans="1:12" s="4" customFormat="1" ht="11.25">
      <c r="A9" s="50"/>
      <c r="B9" s="50"/>
      <c r="C9" s="51" t="s">
        <v>5</v>
      </c>
      <c r="D9" s="51" t="s">
        <v>6</v>
      </c>
      <c r="E9" s="50" t="s">
        <v>7</v>
      </c>
      <c r="F9" s="50" t="s">
        <v>8</v>
      </c>
      <c r="G9" s="52" t="s">
        <v>5</v>
      </c>
      <c r="H9" s="51" t="s">
        <v>6</v>
      </c>
      <c r="I9" s="51" t="s">
        <v>7</v>
      </c>
      <c r="J9" s="53" t="s">
        <v>8</v>
      </c>
      <c r="K9" s="54" t="s">
        <v>9</v>
      </c>
      <c r="L9" s="54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3244</v>
      </c>
      <c r="D11" s="9">
        <v>3030</v>
      </c>
      <c r="E11" s="9">
        <v>3030</v>
      </c>
      <c r="F11" s="9">
        <v>3143</v>
      </c>
      <c r="G11" s="10">
        <v>3147</v>
      </c>
      <c r="H11" s="11">
        <v>3149</v>
      </c>
      <c r="I11" s="11">
        <v>3190</v>
      </c>
      <c r="J11" s="12">
        <v>3250</v>
      </c>
      <c r="K11" s="9">
        <v>3307</v>
      </c>
      <c r="L11" s="9">
        <v>3429</v>
      </c>
    </row>
    <row r="12" spans="1:12" ht="11.25">
      <c r="A12" s="1" t="s">
        <v>13</v>
      </c>
      <c r="C12" s="9">
        <v>1481</v>
      </c>
      <c r="D12" s="9">
        <v>1019</v>
      </c>
      <c r="E12" s="9">
        <v>1020</v>
      </c>
      <c r="F12" s="9">
        <v>1135</v>
      </c>
      <c r="G12" s="10">
        <v>1168</v>
      </c>
      <c r="H12" s="11">
        <v>1172</v>
      </c>
      <c r="I12" s="11">
        <v>1164</v>
      </c>
      <c r="J12" s="12">
        <v>1176</v>
      </c>
      <c r="K12" s="9">
        <v>1190</v>
      </c>
      <c r="L12" s="9">
        <v>1331</v>
      </c>
    </row>
    <row r="13" spans="1:12" ht="11.25">
      <c r="A13" s="1" t="s">
        <v>14</v>
      </c>
      <c r="C13" s="9">
        <f aca="true" t="shared" si="0" ref="C13:L13">C14+C15</f>
        <v>1100</v>
      </c>
      <c r="D13" s="9">
        <f t="shared" si="0"/>
        <v>1100</v>
      </c>
      <c r="E13" s="9">
        <f t="shared" si="0"/>
        <v>1100</v>
      </c>
      <c r="F13" s="9">
        <f t="shared" si="0"/>
        <v>1100</v>
      </c>
      <c r="G13" s="10">
        <f t="shared" si="0"/>
        <v>1100</v>
      </c>
      <c r="H13" s="11">
        <f t="shared" si="0"/>
        <v>1100</v>
      </c>
      <c r="I13" s="11">
        <f t="shared" si="0"/>
        <v>1140</v>
      </c>
      <c r="J13" s="12">
        <f t="shared" si="0"/>
        <v>1140</v>
      </c>
      <c r="K13" s="9">
        <f t="shared" si="0"/>
        <v>1140</v>
      </c>
      <c r="L13" s="9">
        <f t="shared" si="0"/>
        <v>1140</v>
      </c>
    </row>
    <row r="14" spans="2:12" ht="11.25">
      <c r="B14" s="1" t="s">
        <v>15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1100</v>
      </c>
      <c r="D15" s="9">
        <v>1100</v>
      </c>
      <c r="E15" s="9">
        <v>1100</v>
      </c>
      <c r="F15" s="9">
        <v>1100</v>
      </c>
      <c r="G15" s="10">
        <v>1100</v>
      </c>
      <c r="H15" s="11">
        <v>1100</v>
      </c>
      <c r="I15" s="11">
        <v>1140</v>
      </c>
      <c r="J15" s="12">
        <v>1140</v>
      </c>
      <c r="K15" s="9">
        <v>1140</v>
      </c>
      <c r="L15" s="9">
        <v>1140</v>
      </c>
    </row>
    <row r="16" spans="1:12" ht="11.25">
      <c r="A16" s="1" t="s">
        <v>17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11">
        <v>0</v>
      </c>
      <c r="I16" s="11">
        <v>0</v>
      </c>
      <c r="J16" s="12">
        <v>0</v>
      </c>
      <c r="K16" s="9">
        <v>1</v>
      </c>
      <c r="L16" s="9">
        <v>0</v>
      </c>
    </row>
    <row r="17" spans="1:12" ht="11.25">
      <c r="A17" s="1" t="s">
        <v>18</v>
      </c>
      <c r="C17" s="9">
        <f aca="true" t="shared" si="1" ref="C17:L17">C18+C22</f>
        <v>0</v>
      </c>
      <c r="D17" s="9">
        <f t="shared" si="1"/>
        <v>0</v>
      </c>
      <c r="E17" s="9">
        <f t="shared" si="1"/>
        <v>0</v>
      </c>
      <c r="F17" s="9">
        <f t="shared" si="1"/>
        <v>112</v>
      </c>
      <c r="G17" s="10">
        <f t="shared" si="1"/>
        <v>111</v>
      </c>
      <c r="H17" s="11">
        <f t="shared" si="1"/>
        <v>110</v>
      </c>
      <c r="I17" s="11">
        <f t="shared" si="1"/>
        <v>150</v>
      </c>
      <c r="J17" s="12">
        <f t="shared" si="1"/>
        <v>149</v>
      </c>
      <c r="K17" s="9">
        <f t="shared" si="1"/>
        <v>148</v>
      </c>
      <c r="L17" s="9">
        <f t="shared" si="1"/>
        <v>144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0</v>
      </c>
      <c r="D22" s="9">
        <f t="shared" si="3"/>
        <v>0</v>
      </c>
      <c r="E22" s="9">
        <f t="shared" si="3"/>
        <v>0</v>
      </c>
      <c r="F22" s="9">
        <f t="shared" si="3"/>
        <v>112</v>
      </c>
      <c r="G22" s="10">
        <f t="shared" si="3"/>
        <v>111</v>
      </c>
      <c r="H22" s="11">
        <f t="shared" si="3"/>
        <v>110</v>
      </c>
      <c r="I22" s="11">
        <f t="shared" si="3"/>
        <v>150</v>
      </c>
      <c r="J22" s="12">
        <f t="shared" si="3"/>
        <v>149</v>
      </c>
      <c r="K22" s="9">
        <f t="shared" si="3"/>
        <v>148</v>
      </c>
      <c r="L22" s="9">
        <f t="shared" si="3"/>
        <v>144</v>
      </c>
    </row>
    <row r="23" spans="2:12" ht="11.25">
      <c r="B23" s="1" t="s">
        <v>20</v>
      </c>
      <c r="C23" s="9">
        <v>0</v>
      </c>
      <c r="D23" s="9">
        <v>0</v>
      </c>
      <c r="E23" s="9">
        <v>0</v>
      </c>
      <c r="F23" s="9">
        <v>112</v>
      </c>
      <c r="G23" s="10">
        <v>111</v>
      </c>
      <c r="H23" s="11">
        <v>110</v>
      </c>
      <c r="I23" s="11">
        <v>150</v>
      </c>
      <c r="J23" s="12">
        <v>149</v>
      </c>
      <c r="K23" s="9">
        <v>148</v>
      </c>
      <c r="L23" s="9">
        <v>144</v>
      </c>
    </row>
    <row r="24" spans="2:12" ht="11.25">
      <c r="B24" s="1" t="s">
        <v>21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11">
        <v>0</v>
      </c>
      <c r="J24" s="12">
        <v>0</v>
      </c>
      <c r="K24" s="9">
        <v>0</v>
      </c>
      <c r="L24" s="9">
        <v>0</v>
      </c>
    </row>
    <row r="25" spans="1:12" ht="11.25">
      <c r="A25" s="2" t="s">
        <v>22</v>
      </c>
      <c r="B25" s="2"/>
      <c r="C25" s="13">
        <v>3016</v>
      </c>
      <c r="D25" s="13">
        <v>3025</v>
      </c>
      <c r="E25" s="14">
        <v>3027</v>
      </c>
      <c r="F25" s="13">
        <v>3028</v>
      </c>
      <c r="G25" s="15">
        <v>3031</v>
      </c>
      <c r="H25" s="13">
        <v>3034</v>
      </c>
      <c r="I25" s="13">
        <v>3036</v>
      </c>
      <c r="J25" s="16">
        <v>3092</v>
      </c>
      <c r="K25" s="13">
        <v>3150</v>
      </c>
      <c r="L25" s="13">
        <v>3201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3195.5</v>
      </c>
      <c r="D27" s="9">
        <f>(D11+H11)/2</f>
        <v>3089.5</v>
      </c>
      <c r="E27" s="9">
        <f>(E11+I11)/2</f>
        <v>3110</v>
      </c>
      <c r="F27" s="9">
        <f>+(F11+J11)/2</f>
        <v>3196.5</v>
      </c>
      <c r="G27" s="10">
        <f>+(G11+K11)/2</f>
        <v>3227</v>
      </c>
      <c r="H27" s="11">
        <f>+(3417+H11)/2</f>
        <v>3283</v>
      </c>
      <c r="I27" s="11">
        <f>+(3425+I11)/2</f>
        <v>3307.5</v>
      </c>
      <c r="J27" s="12">
        <f>+(3425+J11)/2</f>
        <v>3337.5</v>
      </c>
      <c r="K27" s="9">
        <f>(K11+L11)/2</f>
        <v>3368</v>
      </c>
      <c r="L27" s="9">
        <f>(L11+3443)/2</f>
        <v>3436</v>
      </c>
    </row>
    <row r="28" spans="1:12" ht="11.25">
      <c r="A28" s="1" t="s">
        <v>24</v>
      </c>
      <c r="C28" s="9">
        <f aca="true" t="shared" si="4" ref="C28:L28">C29+C30</f>
        <v>1100</v>
      </c>
      <c r="D28" s="9">
        <f t="shared" si="4"/>
        <v>1100</v>
      </c>
      <c r="E28" s="9">
        <f t="shared" si="4"/>
        <v>1120</v>
      </c>
      <c r="F28" s="9">
        <f t="shared" si="4"/>
        <v>1120</v>
      </c>
      <c r="G28" s="10">
        <f t="shared" si="4"/>
        <v>1120.5</v>
      </c>
      <c r="H28" s="11">
        <f t="shared" si="4"/>
        <v>1320.5</v>
      </c>
      <c r="I28" s="11">
        <f t="shared" si="4"/>
        <v>1340.5</v>
      </c>
      <c r="J28" s="12">
        <f t="shared" si="4"/>
        <v>1340.5</v>
      </c>
      <c r="K28" s="9">
        <f t="shared" si="4"/>
        <v>1140.5</v>
      </c>
      <c r="L28" s="9">
        <f t="shared" si="4"/>
        <v>969</v>
      </c>
    </row>
    <row r="29" spans="2:12" ht="11.25">
      <c r="B29" s="1" t="s">
        <v>14</v>
      </c>
      <c r="C29" s="9">
        <f>(C13+G13)/2</f>
        <v>1100</v>
      </c>
      <c r="D29" s="9">
        <f>(D13+H13)/2</f>
        <v>1100</v>
      </c>
      <c r="E29" s="9">
        <f>(E13+I13)/2</f>
        <v>1120</v>
      </c>
      <c r="F29" s="9">
        <f>+(F13+J13)/2</f>
        <v>1120</v>
      </c>
      <c r="G29" s="10">
        <f>+(G13+K13)/2</f>
        <v>1120</v>
      </c>
      <c r="H29" s="11">
        <f>+(1140+H13)/2</f>
        <v>1120</v>
      </c>
      <c r="I29" s="11">
        <f>+(1140+I13)/2</f>
        <v>1140</v>
      </c>
      <c r="J29" s="12">
        <f>+(1140+J13)/2</f>
        <v>1140</v>
      </c>
      <c r="K29" s="9">
        <f>(K13+L13)/2</f>
        <v>1140</v>
      </c>
      <c r="L29" s="9">
        <f>(L13+440)/2</f>
        <v>790</v>
      </c>
    </row>
    <row r="30" spans="2:12" ht="11.25">
      <c r="B30" s="1" t="s">
        <v>17</v>
      </c>
      <c r="C30" s="9">
        <f>(C16+G16)/2</f>
        <v>0</v>
      </c>
      <c r="D30" s="9">
        <f>(D16+H16)/2</f>
        <v>0</v>
      </c>
      <c r="E30" s="9">
        <f>(E16+I16)/2</f>
        <v>0</v>
      </c>
      <c r="F30" s="9">
        <f>+(F16+J16)/2</f>
        <v>0</v>
      </c>
      <c r="G30" s="10">
        <f>+(G16+K16)/2</f>
        <v>0.5</v>
      </c>
      <c r="H30" s="11">
        <f>+(401+H16)/2</f>
        <v>200.5</v>
      </c>
      <c r="I30" s="11">
        <f>+(401+I16)/2</f>
        <v>200.5</v>
      </c>
      <c r="J30" s="12">
        <f>+(401+J16)/2</f>
        <v>200.5</v>
      </c>
      <c r="K30" s="9">
        <f>(K16+L16)/2</f>
        <v>0.5</v>
      </c>
      <c r="L30" s="9">
        <f>(L16+358)/2</f>
        <v>179</v>
      </c>
    </row>
    <row r="31" spans="1:12" ht="11.25">
      <c r="A31" s="2" t="s">
        <v>22</v>
      </c>
      <c r="B31" s="2"/>
      <c r="C31" s="13">
        <f>(C25+G25)/2</f>
        <v>3023.5</v>
      </c>
      <c r="D31" s="13">
        <f>(D25+H25)/2</f>
        <v>3029.5</v>
      </c>
      <c r="E31" s="13">
        <f>(E25+I25)/2</f>
        <v>3031.5</v>
      </c>
      <c r="F31" s="13">
        <f>+(F25+J25)/2</f>
        <v>3060</v>
      </c>
      <c r="G31" s="15">
        <f>+(G25+K25)/2</f>
        <v>3090.5</v>
      </c>
      <c r="H31" s="13">
        <f>+(3175+H25)/2</f>
        <v>3104.5</v>
      </c>
      <c r="I31" s="13">
        <f>+(3194+I25)/2</f>
        <v>3115</v>
      </c>
      <c r="J31" s="16">
        <f>+(3198+J25)/2</f>
        <v>3145</v>
      </c>
      <c r="K31" s="13">
        <f>(K25+L25)/2</f>
        <v>3175.5</v>
      </c>
      <c r="L31" s="13">
        <f>(L25+3293)/2</f>
        <v>3247</v>
      </c>
    </row>
    <row r="32" spans="1:12" ht="11.25">
      <c r="A32" s="17" t="s">
        <v>25</v>
      </c>
      <c r="B32" s="18"/>
      <c r="C32" s="18"/>
      <c r="D32" s="18"/>
      <c r="F32" s="9"/>
      <c r="G32" s="10"/>
      <c r="H32" s="11"/>
      <c r="I32" s="11"/>
      <c r="J32" s="12"/>
      <c r="K32" s="9"/>
      <c r="L32" s="9"/>
    </row>
    <row r="33" spans="1:12" ht="11.25">
      <c r="A33" s="1" t="s">
        <v>26</v>
      </c>
      <c r="C33" s="1">
        <v>40</v>
      </c>
      <c r="D33" s="9">
        <v>29</v>
      </c>
      <c r="E33" s="9">
        <v>21</v>
      </c>
      <c r="F33" s="9">
        <v>10</v>
      </c>
      <c r="G33" s="10">
        <v>38</v>
      </c>
      <c r="H33" s="11">
        <v>29</v>
      </c>
      <c r="I33" s="11">
        <v>20</v>
      </c>
      <c r="J33" s="12">
        <v>9</v>
      </c>
      <c r="K33" s="9">
        <v>50</v>
      </c>
      <c r="L33" s="9">
        <v>99</v>
      </c>
    </row>
    <row r="34" spans="1:12" ht="11.25">
      <c r="A34" s="1" t="s">
        <v>27</v>
      </c>
      <c r="C34" s="1">
        <v>2</v>
      </c>
      <c r="D34" s="9">
        <v>2</v>
      </c>
      <c r="E34" s="9">
        <v>3</v>
      </c>
      <c r="F34" s="9">
        <v>1</v>
      </c>
      <c r="G34" s="10">
        <v>3</v>
      </c>
      <c r="H34" s="11">
        <v>3</v>
      </c>
      <c r="I34" s="11">
        <v>3</v>
      </c>
      <c r="J34" s="12">
        <v>1</v>
      </c>
      <c r="K34" s="9">
        <v>9</v>
      </c>
      <c r="L34" s="9">
        <v>7</v>
      </c>
    </row>
    <row r="35" spans="1:12" ht="11.25">
      <c r="A35" s="1" t="s">
        <v>28</v>
      </c>
      <c r="C35" s="1">
        <f>+C33-C34</f>
        <v>38</v>
      </c>
      <c r="D35" s="9">
        <f aca="true" t="shared" si="5" ref="D35:L35">D33-D34</f>
        <v>27</v>
      </c>
      <c r="E35" s="9">
        <f t="shared" si="5"/>
        <v>18</v>
      </c>
      <c r="F35" s="9">
        <f t="shared" si="5"/>
        <v>9</v>
      </c>
      <c r="G35" s="10">
        <f t="shared" si="5"/>
        <v>35</v>
      </c>
      <c r="H35" s="11">
        <f t="shared" si="5"/>
        <v>26</v>
      </c>
      <c r="I35" s="11">
        <f t="shared" si="5"/>
        <v>17</v>
      </c>
      <c r="J35" s="12">
        <f t="shared" si="5"/>
        <v>8</v>
      </c>
      <c r="K35" s="9">
        <f t="shared" si="5"/>
        <v>41</v>
      </c>
      <c r="L35" s="9">
        <f t="shared" si="5"/>
        <v>92</v>
      </c>
    </row>
    <row r="36" spans="1:12" ht="11.25">
      <c r="A36" s="1" t="s">
        <v>29</v>
      </c>
      <c r="C36" s="19">
        <v>0</v>
      </c>
      <c r="D36" s="9">
        <v>0</v>
      </c>
      <c r="E36" s="9">
        <v>0</v>
      </c>
      <c r="F36" s="9">
        <v>0</v>
      </c>
      <c r="G36" s="10">
        <v>17</v>
      </c>
      <c r="H36" s="11">
        <v>17</v>
      </c>
      <c r="I36" s="11">
        <v>0</v>
      </c>
      <c r="J36" s="12">
        <v>0</v>
      </c>
      <c r="K36" s="9">
        <v>0</v>
      </c>
      <c r="L36" s="9">
        <v>0</v>
      </c>
    </row>
    <row r="37" spans="1:12" ht="11.25">
      <c r="A37" s="1" t="s">
        <v>30</v>
      </c>
      <c r="C37" s="9">
        <f aca="true" t="shared" si="6" ref="C37:L37">C35+C36</f>
        <v>38</v>
      </c>
      <c r="D37" s="9">
        <f t="shared" si="6"/>
        <v>27</v>
      </c>
      <c r="E37" s="9">
        <f t="shared" si="6"/>
        <v>18</v>
      </c>
      <c r="F37" s="9">
        <f t="shared" si="6"/>
        <v>9</v>
      </c>
      <c r="G37" s="10">
        <f t="shared" si="6"/>
        <v>52</v>
      </c>
      <c r="H37" s="11">
        <f t="shared" si="6"/>
        <v>43</v>
      </c>
      <c r="I37" s="11">
        <f t="shared" si="6"/>
        <v>17</v>
      </c>
      <c r="J37" s="12">
        <f t="shared" si="6"/>
        <v>8</v>
      </c>
      <c r="K37" s="9">
        <f t="shared" si="6"/>
        <v>41</v>
      </c>
      <c r="L37" s="9">
        <f t="shared" si="6"/>
        <v>92</v>
      </c>
    </row>
    <row r="38" spans="1:12" ht="11.25">
      <c r="A38" s="1" t="s">
        <v>31</v>
      </c>
      <c r="C38" s="1">
        <v>53</v>
      </c>
      <c r="D38" s="9">
        <v>33</v>
      </c>
      <c r="E38" s="9">
        <v>22</v>
      </c>
      <c r="F38" s="9">
        <v>12</v>
      </c>
      <c r="G38" s="10">
        <v>170</v>
      </c>
      <c r="H38" s="11">
        <v>157</v>
      </c>
      <c r="I38" s="11">
        <v>130</v>
      </c>
      <c r="J38" s="12">
        <v>66</v>
      </c>
      <c r="K38" s="9">
        <v>66</v>
      </c>
      <c r="L38" s="9">
        <v>110</v>
      </c>
    </row>
    <row r="39" spans="1:12" ht="11.25">
      <c r="A39" s="1" t="s">
        <v>32</v>
      </c>
      <c r="C39" s="9">
        <f aca="true" t="shared" si="7" ref="C39:L39">C37-C38</f>
        <v>-15</v>
      </c>
      <c r="D39" s="9">
        <f t="shared" si="7"/>
        <v>-6</v>
      </c>
      <c r="E39" s="9">
        <f t="shared" si="7"/>
        <v>-4</v>
      </c>
      <c r="F39" s="9">
        <f t="shared" si="7"/>
        <v>-3</v>
      </c>
      <c r="G39" s="10">
        <f t="shared" si="7"/>
        <v>-118</v>
      </c>
      <c r="H39" s="11">
        <f t="shared" si="7"/>
        <v>-114</v>
      </c>
      <c r="I39" s="11">
        <f t="shared" si="7"/>
        <v>-113</v>
      </c>
      <c r="J39" s="12">
        <f t="shared" si="7"/>
        <v>-58</v>
      </c>
      <c r="K39" s="9">
        <f t="shared" si="7"/>
        <v>-25</v>
      </c>
      <c r="L39" s="9">
        <f t="shared" si="7"/>
        <v>-18</v>
      </c>
    </row>
    <row r="40" spans="1:12" ht="11.25">
      <c r="A40" s="2" t="s">
        <v>33</v>
      </c>
      <c r="B40" s="2"/>
      <c r="C40" s="13">
        <v>-15</v>
      </c>
      <c r="D40" s="13">
        <v>-6</v>
      </c>
      <c r="E40" s="13">
        <v>-4</v>
      </c>
      <c r="F40" s="13">
        <v>-3</v>
      </c>
      <c r="G40" s="15">
        <v>-118</v>
      </c>
      <c r="H40" s="13">
        <v>-114</v>
      </c>
      <c r="I40" s="13">
        <v>-113</v>
      </c>
      <c r="J40" s="16">
        <v>-58</v>
      </c>
      <c r="K40" s="13">
        <v>-25</v>
      </c>
      <c r="L40" s="13">
        <v>42</v>
      </c>
    </row>
    <row r="41" spans="1:12" ht="11.25">
      <c r="A41" s="20" t="s">
        <v>34</v>
      </c>
      <c r="B41" s="3"/>
      <c r="C41" s="21"/>
      <c r="D41" s="21"/>
      <c r="E41" s="9"/>
      <c r="F41" s="3"/>
      <c r="G41" s="22"/>
      <c r="H41" s="3"/>
      <c r="I41" s="3"/>
      <c r="J41" s="23"/>
      <c r="K41" s="3"/>
      <c r="L41" s="3"/>
    </row>
    <row r="42" spans="1:12" ht="11.25">
      <c r="A42" s="21" t="s">
        <v>35</v>
      </c>
      <c r="B42" s="21"/>
      <c r="C42" s="24">
        <v>0</v>
      </c>
      <c r="D42" s="24">
        <v>0</v>
      </c>
      <c r="E42" s="9">
        <v>0</v>
      </c>
      <c r="F42" s="11">
        <v>0</v>
      </c>
      <c r="G42" s="10">
        <v>0</v>
      </c>
      <c r="H42" s="11">
        <v>0</v>
      </c>
      <c r="I42" s="11">
        <v>0</v>
      </c>
      <c r="J42" s="12">
        <v>0</v>
      </c>
      <c r="K42" s="11">
        <v>0</v>
      </c>
      <c r="L42" s="11">
        <v>0</v>
      </c>
    </row>
    <row r="43" spans="1:12" ht="11.25">
      <c r="A43" s="21" t="s">
        <v>36</v>
      </c>
      <c r="B43" s="21"/>
      <c r="C43" s="21">
        <v>225</v>
      </c>
      <c r="D43" s="24">
        <v>0</v>
      </c>
      <c r="E43" s="9">
        <v>0</v>
      </c>
      <c r="F43" s="11">
        <v>0</v>
      </c>
      <c r="G43" s="10" t="s">
        <v>37</v>
      </c>
      <c r="H43" s="11">
        <v>0</v>
      </c>
      <c r="I43" s="11">
        <v>0</v>
      </c>
      <c r="J43" s="12">
        <v>0</v>
      </c>
      <c r="K43" s="11">
        <v>0</v>
      </c>
      <c r="L43" s="11">
        <v>0</v>
      </c>
    </row>
    <row r="44" spans="1:12" ht="11.25">
      <c r="A44" s="21" t="s">
        <v>38</v>
      </c>
      <c r="B44" s="21"/>
      <c r="C44" s="25">
        <f>C42/C13</f>
        <v>0</v>
      </c>
      <c r="D44" s="25">
        <f>D42/D13</f>
        <v>0</v>
      </c>
      <c r="E44" s="25">
        <f>E42/E13</f>
        <v>0</v>
      </c>
      <c r="F44" s="26">
        <v>0</v>
      </c>
      <c r="G44" s="27">
        <v>0</v>
      </c>
      <c r="H44" s="26">
        <v>0</v>
      </c>
      <c r="I44" s="26">
        <v>0</v>
      </c>
      <c r="J44" s="28">
        <v>0</v>
      </c>
      <c r="K44" s="26">
        <v>0</v>
      </c>
      <c r="L44" s="26">
        <v>0</v>
      </c>
    </row>
    <row r="45" spans="1:12" ht="11.25">
      <c r="A45" s="21" t="s">
        <v>39</v>
      </c>
      <c r="B45" s="21"/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6">
        <v>0</v>
      </c>
      <c r="I45" s="26">
        <v>0</v>
      </c>
      <c r="J45" s="28">
        <v>0</v>
      </c>
      <c r="K45" s="26">
        <v>0</v>
      </c>
      <c r="L45" s="26">
        <v>0</v>
      </c>
    </row>
    <row r="46" spans="1:12" ht="11.25">
      <c r="A46" s="2" t="s">
        <v>40</v>
      </c>
      <c r="B46" s="2"/>
      <c r="C46" s="29">
        <f>C43/C13</f>
        <v>0.20454545454545456</v>
      </c>
      <c r="D46" s="29">
        <f>D43/D13</f>
        <v>0</v>
      </c>
      <c r="E46" s="29">
        <f>E43/E13</f>
        <v>0</v>
      </c>
      <c r="F46" s="29">
        <v>0</v>
      </c>
      <c r="G46" s="30">
        <v>0</v>
      </c>
      <c r="H46" s="29">
        <v>0</v>
      </c>
      <c r="I46" s="29">
        <v>0</v>
      </c>
      <c r="J46" s="31">
        <v>0</v>
      </c>
      <c r="K46" s="29">
        <v>0</v>
      </c>
      <c r="L46" s="29">
        <v>0</v>
      </c>
    </row>
    <row r="47" spans="1:12" ht="11.25">
      <c r="A47" s="4" t="s">
        <v>41</v>
      </c>
      <c r="C47" s="3"/>
      <c r="D47" s="3"/>
      <c r="E47" s="3"/>
      <c r="F47" s="23"/>
      <c r="G47" s="3"/>
      <c r="H47" s="3"/>
      <c r="I47" s="3"/>
      <c r="J47" s="23"/>
      <c r="K47" s="3"/>
      <c r="L47" s="3"/>
    </row>
    <row r="48" spans="1:12" ht="11.25">
      <c r="A48" s="1" t="s">
        <v>42</v>
      </c>
      <c r="C48" s="26">
        <f aca="true" t="shared" si="8" ref="C48:L48">C25/C13</f>
        <v>2.7418181818181817</v>
      </c>
      <c r="D48" s="26">
        <f t="shared" si="8"/>
        <v>2.75</v>
      </c>
      <c r="E48" s="26">
        <f t="shared" si="8"/>
        <v>2.751818181818182</v>
      </c>
      <c r="F48" s="28">
        <f t="shared" si="8"/>
        <v>2.752727272727273</v>
      </c>
      <c r="G48" s="26">
        <f t="shared" si="8"/>
        <v>2.7554545454545454</v>
      </c>
      <c r="H48" s="26">
        <f t="shared" si="8"/>
        <v>2.7581818181818183</v>
      </c>
      <c r="I48" s="26">
        <f t="shared" si="8"/>
        <v>2.663157894736842</v>
      </c>
      <c r="J48" s="28">
        <f t="shared" si="8"/>
        <v>2.712280701754386</v>
      </c>
      <c r="K48" s="26">
        <f t="shared" si="8"/>
        <v>2.763157894736842</v>
      </c>
      <c r="L48" s="26">
        <f t="shared" si="8"/>
        <v>2.807894736842105</v>
      </c>
    </row>
    <row r="49" spans="1:12" ht="11.25">
      <c r="A49" s="2" t="s">
        <v>43</v>
      </c>
      <c r="B49" s="2"/>
      <c r="C49" s="29">
        <f aca="true" t="shared" si="9" ref="C49:L49">C25/(C13+C16)</f>
        <v>2.7418181818181817</v>
      </c>
      <c r="D49" s="29">
        <f t="shared" si="9"/>
        <v>2.75</v>
      </c>
      <c r="E49" s="29">
        <f t="shared" si="9"/>
        <v>2.751818181818182</v>
      </c>
      <c r="F49" s="31">
        <f t="shared" si="9"/>
        <v>2.752727272727273</v>
      </c>
      <c r="G49" s="29">
        <f t="shared" si="9"/>
        <v>2.7554545454545454</v>
      </c>
      <c r="H49" s="29">
        <f t="shared" si="9"/>
        <v>2.7581818181818183</v>
      </c>
      <c r="I49" s="29">
        <f t="shared" si="9"/>
        <v>2.663157894736842</v>
      </c>
      <c r="J49" s="31">
        <f t="shared" si="9"/>
        <v>2.712280701754386</v>
      </c>
      <c r="K49" s="29">
        <f t="shared" si="9"/>
        <v>2.7607361963190185</v>
      </c>
      <c r="L49" s="29">
        <f t="shared" si="9"/>
        <v>2.807894736842105</v>
      </c>
    </row>
    <row r="50" spans="1:10" ht="11.25">
      <c r="A50" s="4" t="s">
        <v>44</v>
      </c>
      <c r="G50" s="32"/>
      <c r="H50" s="21"/>
      <c r="I50" s="21"/>
      <c r="J50" s="33"/>
    </row>
    <row r="51" spans="1:12" ht="11.25">
      <c r="A51" s="1" t="s">
        <v>45</v>
      </c>
      <c r="C51" s="34">
        <v>0</v>
      </c>
      <c r="D51" s="34">
        <v>-1</v>
      </c>
      <c r="E51" s="34">
        <v>0</v>
      </c>
      <c r="F51" s="34">
        <f aca="true" t="shared" si="10" ref="F51:L51">F12/F17</f>
        <v>10.133928571428571</v>
      </c>
      <c r="G51" s="35">
        <f t="shared" si="10"/>
        <v>10.522522522522523</v>
      </c>
      <c r="H51" s="36">
        <f t="shared" si="10"/>
        <v>10.654545454545454</v>
      </c>
      <c r="I51" s="26">
        <f t="shared" si="10"/>
        <v>7.76</v>
      </c>
      <c r="J51" s="28">
        <f t="shared" si="10"/>
        <v>7.89261744966443</v>
      </c>
      <c r="K51" s="25">
        <f t="shared" si="10"/>
        <v>8.04054054054054</v>
      </c>
      <c r="L51" s="25">
        <f t="shared" si="10"/>
        <v>9.243055555555555</v>
      </c>
    </row>
    <row r="52" spans="1:12" ht="11.25">
      <c r="A52" s="1" t="s">
        <v>46</v>
      </c>
      <c r="C52" s="25">
        <f aca="true" t="shared" si="11" ref="C52:L52">C12/C11</f>
        <v>0.4565351418002466</v>
      </c>
      <c r="D52" s="34">
        <f t="shared" si="11"/>
        <v>0.3363036303630363</v>
      </c>
      <c r="E52" s="34">
        <f t="shared" si="11"/>
        <v>0.33663366336633666</v>
      </c>
      <c r="F52" s="25">
        <f t="shared" si="11"/>
        <v>0.36111994909322304</v>
      </c>
      <c r="G52" s="27">
        <f t="shared" si="11"/>
        <v>0.371147124245313</v>
      </c>
      <c r="H52" s="26">
        <f t="shared" si="11"/>
        <v>0.37218164496665607</v>
      </c>
      <c r="I52" s="26">
        <f t="shared" si="11"/>
        <v>0.36489028213166147</v>
      </c>
      <c r="J52" s="28">
        <f t="shared" si="11"/>
        <v>0.3618461538461539</v>
      </c>
      <c r="K52" s="25">
        <f t="shared" si="11"/>
        <v>0.3598427577865135</v>
      </c>
      <c r="L52" s="25">
        <f t="shared" si="11"/>
        <v>0.3881598133566638</v>
      </c>
    </row>
    <row r="53" spans="1:12" ht="11.25">
      <c r="A53" s="2" t="s">
        <v>47</v>
      </c>
      <c r="B53" s="2"/>
      <c r="C53" s="29">
        <v>0</v>
      </c>
      <c r="D53" s="37">
        <v>-1</v>
      </c>
      <c r="E53" s="37">
        <v>0</v>
      </c>
      <c r="F53" s="29">
        <f aca="true" t="shared" si="12" ref="F53:L53">(F12+F16)/F17</f>
        <v>10.133928571428571</v>
      </c>
      <c r="G53" s="30">
        <f t="shared" si="12"/>
        <v>10.522522522522523</v>
      </c>
      <c r="H53" s="29">
        <f t="shared" si="12"/>
        <v>10.654545454545454</v>
      </c>
      <c r="I53" s="29">
        <f t="shared" si="12"/>
        <v>7.76</v>
      </c>
      <c r="J53" s="31">
        <f t="shared" si="12"/>
        <v>7.89261744966443</v>
      </c>
      <c r="K53" s="29">
        <f t="shared" si="12"/>
        <v>8.047297297297296</v>
      </c>
      <c r="L53" s="29">
        <f t="shared" si="12"/>
        <v>9.243055555555555</v>
      </c>
    </row>
    <row r="54" spans="1:10" ht="11.25">
      <c r="A54" s="4" t="s">
        <v>48</v>
      </c>
      <c r="G54" s="32"/>
      <c r="H54" s="21"/>
      <c r="I54" s="21"/>
      <c r="J54" s="33"/>
    </row>
    <row r="55" spans="1:12" ht="11.25">
      <c r="A55" s="1" t="s">
        <v>49</v>
      </c>
      <c r="B55" s="21"/>
      <c r="C55" s="38">
        <f>C40/C28</f>
        <v>-0.013636363636363636</v>
      </c>
      <c r="D55" s="38">
        <f>(D40/0.75)/D28</f>
        <v>-0.007272727272727273</v>
      </c>
      <c r="E55" s="25">
        <f>(E40/0.5)/E28</f>
        <v>-0.007142857142857143</v>
      </c>
      <c r="F55" s="25">
        <f>((F40)/0.25)/F28</f>
        <v>-0.010714285714285714</v>
      </c>
      <c r="G55" s="39">
        <f>G40/G28</f>
        <v>-0.10531012940651495</v>
      </c>
      <c r="H55" s="38">
        <f>(H40/0.75)/H28</f>
        <v>-0.11510791366906475</v>
      </c>
      <c r="I55" s="38">
        <f>(I40/0.5)/I28</f>
        <v>-0.16859380828049236</v>
      </c>
      <c r="J55" s="28">
        <f>((J40)/0.25)/J28</f>
        <v>-0.1730697500932488</v>
      </c>
      <c r="K55" s="25">
        <f>K40/K28</f>
        <v>-0.021920210434020166</v>
      </c>
      <c r="L55" s="25">
        <f>L40/L28</f>
        <v>0.043343653250773995</v>
      </c>
    </row>
    <row r="56" spans="1:12" ht="11.25">
      <c r="A56" s="1" t="s">
        <v>50</v>
      </c>
      <c r="B56" s="21"/>
      <c r="C56" s="38">
        <f>C40/C27</f>
        <v>-0.004694101079643249</v>
      </c>
      <c r="D56" s="38">
        <f>(D40/0.75)/D27</f>
        <v>-0.0025894157630684577</v>
      </c>
      <c r="E56" s="25">
        <f>(E40/0.5)/E27</f>
        <v>-0.002572347266881029</v>
      </c>
      <c r="F56" s="25">
        <f>((F40)/0.25)/F27</f>
        <v>-0.003754106053496011</v>
      </c>
      <c r="G56" s="39">
        <f>G40/G27</f>
        <v>-0.0365664704059498</v>
      </c>
      <c r="H56" s="38">
        <f>(H40/0.75)/H27</f>
        <v>-0.046299116661590006</v>
      </c>
      <c r="I56" s="38">
        <f>(I40/0.5)/I27</f>
        <v>-0.06832955404383975</v>
      </c>
      <c r="J56" s="28">
        <f>((J40)/0.25)/J27</f>
        <v>-0.06951310861423221</v>
      </c>
      <c r="K56" s="25">
        <f>K40/K27</f>
        <v>-0.007422802850356294</v>
      </c>
      <c r="L56" s="25">
        <f>L40/L27</f>
        <v>0.012223515715948778</v>
      </c>
    </row>
    <row r="57" spans="1:12" ht="11.25">
      <c r="A57" s="1" t="s">
        <v>51</v>
      </c>
      <c r="B57" s="21"/>
      <c r="C57" s="38">
        <f>+C40/C31</f>
        <v>-0.00496113775425831</v>
      </c>
      <c r="D57" s="38">
        <f>(D40/0.75)/D31</f>
        <v>-0.0026406997854431426</v>
      </c>
      <c r="E57" s="25">
        <f>(E40/0.5)/E31</f>
        <v>-0.002638957611743361</v>
      </c>
      <c r="F57" s="25">
        <f>((F40)/0.25)/F31</f>
        <v>-0.00392156862745098</v>
      </c>
      <c r="G57" s="39">
        <f>+G40/G31</f>
        <v>-0.03818152402523863</v>
      </c>
      <c r="H57" s="38">
        <f>(H40/0.75)/H31</f>
        <v>-0.048961185376067</v>
      </c>
      <c r="I57" s="38">
        <f>(I40/0.5)/I31</f>
        <v>-0.07255216693418941</v>
      </c>
      <c r="J57" s="28">
        <f>((J40)/0.25)/J31</f>
        <v>-0.07376788553259142</v>
      </c>
      <c r="K57" s="25">
        <f>K40/K31</f>
        <v>-0.007872775940796726</v>
      </c>
      <c r="L57" s="25">
        <f>L40/L31</f>
        <v>0.012935016938712659</v>
      </c>
    </row>
    <row r="58" spans="1:12" ht="11.25">
      <c r="A58" s="1" t="s">
        <v>52</v>
      </c>
      <c r="B58" s="21"/>
      <c r="C58" s="38">
        <f>C33/C28</f>
        <v>0.03636363636363636</v>
      </c>
      <c r="D58" s="38">
        <f>(D33/0.75)/D28</f>
        <v>0.03515151515151515</v>
      </c>
      <c r="E58" s="25">
        <f>(E33/0.5)/E28</f>
        <v>0.0375</v>
      </c>
      <c r="F58" s="25">
        <f>((F33)/0.25)/F28</f>
        <v>0.03571428571428571</v>
      </c>
      <c r="G58" s="39">
        <f>G33/G28</f>
        <v>0.03391343150379295</v>
      </c>
      <c r="H58" s="38">
        <f>(H33/0.75)/H28</f>
        <v>0.02928183768774454</v>
      </c>
      <c r="I58" s="38">
        <f>(I33/0.5)/I28</f>
        <v>0.029839612085042894</v>
      </c>
      <c r="J58" s="28">
        <f>((J33)/0.25)/J28</f>
        <v>0.026855650876538604</v>
      </c>
      <c r="K58" s="25">
        <f>K33/K28</f>
        <v>0.04384042086804033</v>
      </c>
      <c r="L58" s="25">
        <f>L33/L27</f>
        <v>0.028812572759022118</v>
      </c>
    </row>
    <row r="59" spans="1:12" ht="11.25">
      <c r="A59" s="1" t="s">
        <v>53</v>
      </c>
      <c r="B59" s="21"/>
      <c r="C59" s="38">
        <f>C34/C28</f>
        <v>0.0018181818181818182</v>
      </c>
      <c r="D59" s="38">
        <f>(D34/0.75)/D28</f>
        <v>0.0024242424242424242</v>
      </c>
      <c r="E59" s="25">
        <f>(E34/0.5)/E28</f>
        <v>0.005357142857142857</v>
      </c>
      <c r="F59" s="25">
        <f>((F34)/0.25)/F28</f>
        <v>0.0035714285714285713</v>
      </c>
      <c r="G59" s="39">
        <f>G34/G28</f>
        <v>0.002677376171352075</v>
      </c>
      <c r="H59" s="38">
        <f>(H34/0.75)/H28</f>
        <v>0.003029155622870125</v>
      </c>
      <c r="I59" s="38">
        <f>(I34/0.5)/I28</f>
        <v>0.004475941812756434</v>
      </c>
      <c r="J59" s="28">
        <f>((J34)/0.25)/J28</f>
        <v>0.0029839612085042896</v>
      </c>
      <c r="K59" s="25">
        <f>K34/K28</f>
        <v>0.00789127575624726</v>
      </c>
      <c r="L59" s="25">
        <f>L34/L27</f>
        <v>0.002037252619324796</v>
      </c>
    </row>
    <row r="60" spans="1:12" ht="11.25">
      <c r="A60" s="1" t="s">
        <v>54</v>
      </c>
      <c r="B60" s="21"/>
      <c r="C60" s="38">
        <f>C35/C28</f>
        <v>0.034545454545454546</v>
      </c>
      <c r="D60" s="38">
        <f>(D35/0.75)/D28</f>
        <v>0.03272727272727273</v>
      </c>
      <c r="E60" s="25">
        <f>(E35/0.5)/E28</f>
        <v>0.03214285714285714</v>
      </c>
      <c r="F60" s="25">
        <f>((F35)/0.25)/F28</f>
        <v>0.03214285714285714</v>
      </c>
      <c r="G60" s="39">
        <f>G35/G28</f>
        <v>0.031236055332440876</v>
      </c>
      <c r="H60" s="38">
        <f>(H35/0.75)/H28</f>
        <v>0.026252682064874414</v>
      </c>
      <c r="I60" s="38">
        <f>(I35/0.5)/I28</f>
        <v>0.02536367027228646</v>
      </c>
      <c r="J60" s="28">
        <f>((J35)/0.25)/J28</f>
        <v>0.023871689668034317</v>
      </c>
      <c r="K60" s="25">
        <f>K35/K28</f>
        <v>0.03594914511179308</v>
      </c>
      <c r="L60" s="25">
        <f>L35/L27</f>
        <v>0.02677532013969732</v>
      </c>
    </row>
    <row r="61" spans="1:12" ht="11.25">
      <c r="A61" s="1" t="s">
        <v>55</v>
      </c>
      <c r="B61" s="21"/>
      <c r="C61" s="38">
        <f>C38/C37</f>
        <v>1.394736842105263</v>
      </c>
      <c r="D61" s="38">
        <f>(D38/0.75)/(D37/0.75)</f>
        <v>1.2222222222222223</v>
      </c>
      <c r="E61" s="25">
        <f>(E38/0.5)/(E37/0.5)</f>
        <v>1.2222222222222223</v>
      </c>
      <c r="F61" s="25">
        <f>(F38/0.25)/(F37/0.25)</f>
        <v>1.3333333333333333</v>
      </c>
      <c r="G61" s="39">
        <f>G38/G37</f>
        <v>3.269230769230769</v>
      </c>
      <c r="H61" s="38">
        <f>(H38/0.75)/(H37/0.75)</f>
        <v>3.6511627906976742</v>
      </c>
      <c r="I61" s="38">
        <f>(I38/0.5)/(I37/0.5)</f>
        <v>7.647058823529412</v>
      </c>
      <c r="J61" s="28">
        <f>(J38/0.25)/(J37/0.25)</f>
        <v>8.25</v>
      </c>
      <c r="K61" s="25">
        <f>K38/K37</f>
        <v>1.6097560975609757</v>
      </c>
      <c r="L61" s="25">
        <f>L38/L37</f>
        <v>1.1956521739130435</v>
      </c>
    </row>
    <row r="62" spans="1:12" ht="11.25">
      <c r="A62" s="2" t="s">
        <v>56</v>
      </c>
      <c r="B62" s="2"/>
      <c r="C62" s="40">
        <f>C36/C28</f>
        <v>0</v>
      </c>
      <c r="D62" s="40">
        <f>(D36/0.75)/D28</f>
        <v>0</v>
      </c>
      <c r="E62" s="29">
        <f>(E36/0.5)/E28</f>
        <v>0</v>
      </c>
      <c r="F62" s="29">
        <f>(F36/0.25)/F28</f>
        <v>0</v>
      </c>
      <c r="G62" s="41">
        <f>G36/G28</f>
        <v>0.015171798304328426</v>
      </c>
      <c r="H62" s="40">
        <f>(H36/0.75)/H28</f>
        <v>0.01716521519626404</v>
      </c>
      <c r="I62" s="40">
        <f>(I36/0.5)/I28</f>
        <v>0</v>
      </c>
      <c r="J62" s="31">
        <f>(J36/0.25)/J28</f>
        <v>0</v>
      </c>
      <c r="K62" s="29">
        <f>K36/K28</f>
        <v>0</v>
      </c>
      <c r="L62" s="29">
        <f>L36/L27</f>
        <v>0</v>
      </c>
    </row>
    <row r="63" spans="1:12" ht="11.25">
      <c r="A63" s="20" t="s">
        <v>57</v>
      </c>
      <c r="B63" s="3"/>
      <c r="C63" s="21"/>
      <c r="D63" s="21"/>
      <c r="F63" s="3"/>
      <c r="G63" s="22"/>
      <c r="H63" s="3"/>
      <c r="I63" s="3"/>
      <c r="J63" s="23"/>
      <c r="K63" s="3"/>
      <c r="L63" s="3"/>
    </row>
    <row r="64" spans="1:12" ht="11.25">
      <c r="A64" s="21" t="s">
        <v>58</v>
      </c>
      <c r="B64" s="21"/>
      <c r="C64" s="21">
        <v>4</v>
      </c>
      <c r="D64" s="9">
        <v>5</v>
      </c>
      <c r="E64" s="9">
        <v>5</v>
      </c>
      <c r="F64" s="21">
        <v>5</v>
      </c>
      <c r="G64" s="10">
        <v>5</v>
      </c>
      <c r="H64" s="11">
        <v>5</v>
      </c>
      <c r="I64" s="11">
        <v>5</v>
      </c>
      <c r="J64" s="12">
        <v>5</v>
      </c>
      <c r="K64" s="11">
        <v>4</v>
      </c>
      <c r="L64" s="11">
        <v>4</v>
      </c>
    </row>
    <row r="65" spans="1:12" ht="11.25">
      <c r="A65" s="21" t="s">
        <v>59</v>
      </c>
      <c r="B65" s="21"/>
      <c r="C65" s="21">
        <v>1</v>
      </c>
      <c r="D65" s="9">
        <v>1</v>
      </c>
      <c r="E65" s="9">
        <v>1</v>
      </c>
      <c r="F65" s="21">
        <v>1</v>
      </c>
      <c r="G65" s="42">
        <v>1</v>
      </c>
      <c r="H65" s="43">
        <v>1</v>
      </c>
      <c r="I65" s="43">
        <v>1</v>
      </c>
      <c r="J65" s="44">
        <v>1</v>
      </c>
      <c r="K65" s="43">
        <v>1</v>
      </c>
      <c r="L65" s="43">
        <v>1</v>
      </c>
    </row>
    <row r="66" spans="1:12" ht="11.25">
      <c r="A66" s="1" t="s">
        <v>60</v>
      </c>
      <c r="B66" s="21"/>
      <c r="C66" s="43">
        <f aca="true" t="shared" si="13" ref="C66:L66">C13/C64</f>
        <v>275</v>
      </c>
      <c r="D66" s="43">
        <f t="shared" si="13"/>
        <v>220</v>
      </c>
      <c r="E66" s="43">
        <f t="shared" si="13"/>
        <v>220</v>
      </c>
      <c r="F66" s="43">
        <f t="shared" si="13"/>
        <v>220</v>
      </c>
      <c r="G66" s="42">
        <f t="shared" si="13"/>
        <v>220</v>
      </c>
      <c r="H66" s="43">
        <f t="shared" si="13"/>
        <v>220</v>
      </c>
      <c r="I66" s="43">
        <f t="shared" si="13"/>
        <v>228</v>
      </c>
      <c r="J66" s="44">
        <f t="shared" si="13"/>
        <v>228</v>
      </c>
      <c r="K66" s="43">
        <f t="shared" si="13"/>
        <v>285</v>
      </c>
      <c r="L66" s="43">
        <f t="shared" si="13"/>
        <v>285</v>
      </c>
    </row>
    <row r="67" spans="1:12" ht="11.25">
      <c r="A67" s="1" t="s">
        <v>61</v>
      </c>
      <c r="B67" s="21"/>
      <c r="C67" s="43">
        <f aca="true" t="shared" si="14" ref="C67:L67">C17/C64</f>
        <v>0</v>
      </c>
      <c r="D67" s="43">
        <f t="shared" si="14"/>
        <v>0</v>
      </c>
      <c r="E67" s="43">
        <f t="shared" si="14"/>
        <v>0</v>
      </c>
      <c r="F67" s="43">
        <f t="shared" si="14"/>
        <v>22.4</v>
      </c>
      <c r="G67" s="42">
        <f t="shared" si="14"/>
        <v>22.2</v>
      </c>
      <c r="H67" s="43">
        <f t="shared" si="14"/>
        <v>22</v>
      </c>
      <c r="I67" s="43">
        <f t="shared" si="14"/>
        <v>30</v>
      </c>
      <c r="J67" s="44">
        <f t="shared" si="14"/>
        <v>29.8</v>
      </c>
      <c r="K67" s="43">
        <f t="shared" si="14"/>
        <v>37</v>
      </c>
      <c r="L67" s="43">
        <f t="shared" si="14"/>
        <v>36</v>
      </c>
    </row>
    <row r="68" spans="1:12" ht="11.25">
      <c r="A68" s="2" t="s">
        <v>62</v>
      </c>
      <c r="B68" s="2"/>
      <c r="C68" s="45">
        <f aca="true" t="shared" si="15" ref="C68:L68">C40/C64</f>
        <v>-3.75</v>
      </c>
      <c r="D68" s="45">
        <f t="shared" si="15"/>
        <v>-1.2</v>
      </c>
      <c r="E68" s="45">
        <f t="shared" si="15"/>
        <v>-0.8</v>
      </c>
      <c r="F68" s="45">
        <f t="shared" si="15"/>
        <v>-0.6</v>
      </c>
      <c r="G68" s="46">
        <f t="shared" si="15"/>
        <v>-23.6</v>
      </c>
      <c r="H68" s="45">
        <f t="shared" si="15"/>
        <v>-22.8</v>
      </c>
      <c r="I68" s="45">
        <f t="shared" si="15"/>
        <v>-22.6</v>
      </c>
      <c r="J68" s="47">
        <f t="shared" si="15"/>
        <v>-11.6</v>
      </c>
      <c r="K68" s="45">
        <f t="shared" si="15"/>
        <v>-6.25</v>
      </c>
      <c r="L68" s="45">
        <f t="shared" si="15"/>
        <v>10.5</v>
      </c>
    </row>
    <row r="69" spans="1:10" ht="11.25">
      <c r="A69" s="4" t="s">
        <v>63</v>
      </c>
      <c r="G69" s="32"/>
      <c r="H69" s="21"/>
      <c r="I69" s="21"/>
      <c r="J69" s="33"/>
    </row>
    <row r="70" spans="1:12" ht="11.25">
      <c r="A70" s="1" t="s">
        <v>64</v>
      </c>
      <c r="C70" s="25">
        <f>(C11/G11)-1</f>
        <v>0.030823006037496103</v>
      </c>
      <c r="D70" s="25">
        <f>(D11/H11)-1</f>
        <v>-0.037789774531597375</v>
      </c>
      <c r="E70" s="25">
        <f>(E11/I11)-1</f>
        <v>-0.050156739811912265</v>
      </c>
      <c r="F70" s="25">
        <f>+(F11/J11)-1</f>
        <v>-0.032923076923076944</v>
      </c>
      <c r="G70" s="27">
        <f>+(G11/K11)-1</f>
        <v>-0.04838221953432109</v>
      </c>
      <c r="H70" s="26">
        <f>+(H11/3417)-1</f>
        <v>-0.07843137254901966</v>
      </c>
      <c r="I70" s="26">
        <f>+(I11/3425)-1</f>
        <v>-0.06861313868613139</v>
      </c>
      <c r="J70" s="28">
        <f>+(J11/3425)-1</f>
        <v>-0.051094890510948954</v>
      </c>
      <c r="K70" s="25">
        <f>+(K11/L11)-1</f>
        <v>-0.03557888597258674</v>
      </c>
      <c r="L70" s="25">
        <f>+(L11/3443)-1</f>
        <v>-0.004066221318617447</v>
      </c>
    </row>
    <row r="71" spans="1:12" ht="11.25">
      <c r="A71" s="1" t="s">
        <v>65</v>
      </c>
      <c r="C71" s="25">
        <f>(C13/G13)-1</f>
        <v>0</v>
      </c>
      <c r="D71" s="25">
        <f>(D13/H13)-1</f>
        <v>0</v>
      </c>
      <c r="E71" s="25">
        <f>(E13/I13)-1</f>
        <v>-0.03508771929824561</v>
      </c>
      <c r="F71" s="25">
        <f aca="true" t="shared" si="16" ref="F71:L71">SUM(F72:F73)</f>
        <v>-0.03508771929824561</v>
      </c>
      <c r="G71" s="27">
        <f t="shared" si="16"/>
        <v>-0.03508771929824561</v>
      </c>
      <c r="H71" s="26">
        <f t="shared" si="16"/>
        <v>-0.03508771929824561</v>
      </c>
      <c r="I71" s="26">
        <f t="shared" si="16"/>
        <v>0</v>
      </c>
      <c r="J71" s="28">
        <f t="shared" si="16"/>
        <v>0</v>
      </c>
      <c r="K71" s="25">
        <f t="shared" si="16"/>
        <v>0</v>
      </c>
      <c r="L71" s="25">
        <f t="shared" si="16"/>
        <v>1.5909090909090908</v>
      </c>
    </row>
    <row r="72" spans="2:12" ht="11.25">
      <c r="B72" s="1" t="s">
        <v>15</v>
      </c>
      <c r="C72" s="25">
        <v>0</v>
      </c>
      <c r="D72" s="25">
        <v>0</v>
      </c>
      <c r="E72" s="25">
        <v>0</v>
      </c>
      <c r="F72" s="25">
        <v>0</v>
      </c>
      <c r="G72" s="27">
        <v>0</v>
      </c>
      <c r="H72" s="26">
        <v>0</v>
      </c>
      <c r="I72" s="26">
        <v>0</v>
      </c>
      <c r="J72" s="28">
        <v>0</v>
      </c>
      <c r="K72" s="25">
        <v>0</v>
      </c>
      <c r="L72" s="25">
        <v>0</v>
      </c>
    </row>
    <row r="73" spans="2:12" ht="11.25">
      <c r="B73" s="1" t="s">
        <v>16</v>
      </c>
      <c r="C73" s="25">
        <f>(C15/G15)-1</f>
        <v>0</v>
      </c>
      <c r="D73" s="25">
        <f>(D15/H15)-1</f>
        <v>0</v>
      </c>
      <c r="E73" s="25">
        <f>(E15/I15)-1</f>
        <v>-0.03508771929824561</v>
      </c>
      <c r="F73" s="25">
        <f>+(F15/J15)-1</f>
        <v>-0.03508771929824561</v>
      </c>
      <c r="G73" s="27">
        <f>+(G15/K15)-1</f>
        <v>-0.03508771929824561</v>
      </c>
      <c r="H73" s="26">
        <f>+(H15/1140)-1</f>
        <v>-0.03508771929824561</v>
      </c>
      <c r="I73" s="26">
        <f>+(I15/1140)-1</f>
        <v>0</v>
      </c>
      <c r="J73" s="28">
        <f>+(J15/1140)-1</f>
        <v>0</v>
      </c>
      <c r="K73" s="25">
        <f>+(K15/L15)-1</f>
        <v>0</v>
      </c>
      <c r="L73" s="25">
        <f>+(L15/440)-1</f>
        <v>1.5909090909090908</v>
      </c>
    </row>
    <row r="74" spans="1:12" ht="11.25">
      <c r="A74" s="1" t="s">
        <v>66</v>
      </c>
      <c r="C74" s="25">
        <f aca="true" t="shared" si="17" ref="C74:L74">SUM(C75:C76)</f>
        <v>-1</v>
      </c>
      <c r="D74" s="25">
        <f t="shared" si="17"/>
        <v>-1</v>
      </c>
      <c r="E74" s="25">
        <f t="shared" si="17"/>
        <v>-1</v>
      </c>
      <c r="F74" s="25">
        <f t="shared" si="17"/>
        <v>-0.24832214765100669</v>
      </c>
      <c r="G74" s="27">
        <f t="shared" si="17"/>
        <v>-0.25</v>
      </c>
      <c r="H74" s="26">
        <f t="shared" si="17"/>
        <v>-0.2517006802721088</v>
      </c>
      <c r="I74" s="26">
        <f t="shared" si="17"/>
        <v>0.027397260273972712</v>
      </c>
      <c r="J74" s="28">
        <f t="shared" si="17"/>
        <v>0.02758620689655178</v>
      </c>
      <c r="K74" s="25">
        <f t="shared" si="17"/>
        <v>0.02777777777777768</v>
      </c>
      <c r="L74" s="25">
        <f t="shared" si="17"/>
        <v>0.02127659574468077</v>
      </c>
    </row>
    <row r="75" spans="2:12" ht="11.25">
      <c r="B75" s="1" t="s">
        <v>15</v>
      </c>
      <c r="C75" s="25">
        <v>0</v>
      </c>
      <c r="D75" s="25">
        <v>0</v>
      </c>
      <c r="E75" s="25">
        <v>0</v>
      </c>
      <c r="F75" s="25">
        <v>0</v>
      </c>
      <c r="G75" s="27">
        <v>0</v>
      </c>
      <c r="H75" s="26">
        <v>0</v>
      </c>
      <c r="I75" s="26">
        <v>0</v>
      </c>
      <c r="J75" s="28">
        <v>0</v>
      </c>
      <c r="K75" s="25">
        <v>0</v>
      </c>
      <c r="L75" s="25">
        <v>0</v>
      </c>
    </row>
    <row r="76" spans="2:12" ht="11.25">
      <c r="B76" s="1" t="s">
        <v>16</v>
      </c>
      <c r="C76" s="25">
        <f>+(C22/G22)-1</f>
        <v>-1</v>
      </c>
      <c r="D76" s="25">
        <f>+(D22/H22)-1</f>
        <v>-1</v>
      </c>
      <c r="E76" s="25">
        <f>+(E22/I22)-1</f>
        <v>-1</v>
      </c>
      <c r="F76" s="25">
        <f>+(F22/J22)-1</f>
        <v>-0.24832214765100669</v>
      </c>
      <c r="G76" s="27">
        <f>+(G22/K22)-1</f>
        <v>-0.25</v>
      </c>
      <c r="H76" s="26">
        <f>+(H22/147)-1</f>
        <v>-0.2517006802721088</v>
      </c>
      <c r="I76" s="26">
        <f>+(I22/146)-1</f>
        <v>0.027397260273972712</v>
      </c>
      <c r="J76" s="28">
        <f>+(J22/145)-1</f>
        <v>0.02758620689655178</v>
      </c>
      <c r="K76" s="25">
        <f>+(K22/L22)-1</f>
        <v>0.02777777777777768</v>
      </c>
      <c r="L76" s="25">
        <f>+(L22/141)-1</f>
        <v>0.02127659574468077</v>
      </c>
    </row>
    <row r="77" spans="1:12" ht="11.25">
      <c r="A77" s="1" t="s">
        <v>67</v>
      </c>
      <c r="C77" s="25">
        <f>(C25/G25)-1</f>
        <v>-0.004948861761794765</v>
      </c>
      <c r="D77" s="25">
        <f>(D25/H25)-1</f>
        <v>-0.0029663810151615566</v>
      </c>
      <c r="E77" s="25">
        <f>(E25/I25)-1</f>
        <v>-0.0029644268774703386</v>
      </c>
      <c r="F77" s="26">
        <f>+(F25/J25)-1</f>
        <v>-0.02069857697283317</v>
      </c>
      <c r="G77" s="27">
        <f>+(G25/K25)-1</f>
        <v>-0.0377777777777778</v>
      </c>
      <c r="H77" s="26">
        <f>+(H25/3175)-1</f>
        <v>-0.044409448818897634</v>
      </c>
      <c r="I77" s="26">
        <f>+(I25/3194)-1</f>
        <v>-0.049467752035065704</v>
      </c>
      <c r="J77" s="28">
        <f>+(J25/3198)-1</f>
        <v>-0.03314571607254535</v>
      </c>
      <c r="K77" s="26">
        <f>+(K25/L25)-1</f>
        <v>-0.015932521087160256</v>
      </c>
      <c r="L77" s="26">
        <f>(L25/3293)-1</f>
        <v>-0.027938050409960558</v>
      </c>
    </row>
    <row r="78" spans="1:12" ht="11.25">
      <c r="A78" s="2" t="s">
        <v>68</v>
      </c>
      <c r="B78" s="2"/>
      <c r="C78" s="29">
        <f>(C40/G40)-1</f>
        <v>-0.8728813559322034</v>
      </c>
      <c r="D78" s="29">
        <f>(D40/H40)-1</f>
        <v>-0.9473684210526316</v>
      </c>
      <c r="E78" s="29">
        <f>(E40/I40)-1</f>
        <v>-0.9646017699115044</v>
      </c>
      <c r="F78" s="29">
        <f>+(F40/J40)-1</f>
        <v>-0.9482758620689655</v>
      </c>
      <c r="G78" s="30">
        <f>+(G40/K40)-1</f>
        <v>3.7199999999999998</v>
      </c>
      <c r="H78" s="29">
        <f>+(H40/26)-1</f>
        <v>-5.384615384615385</v>
      </c>
      <c r="I78" s="29">
        <f>+(I40/6)-1</f>
        <v>-19.833333333333332</v>
      </c>
      <c r="J78" s="31">
        <f>+(J40/3)-1</f>
        <v>-20.333333333333332</v>
      </c>
      <c r="K78" s="29">
        <f>+(K40/L40)-1</f>
        <v>-1.5952380952380953</v>
      </c>
      <c r="L78" s="29">
        <f>+(L40/42)-1</f>
        <v>0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1120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2002-03-19T18:06:20Z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