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Pacífico" sheetId="1" r:id="rId1"/>
  </sheets>
  <definedNames>
    <definedName name="_xlnm.Print_Area" localSheetId="0">'Pacífico'!$A:$IV</definedName>
  </definedNames>
  <calcPr fullCalcOnLoad="1"/>
</workbook>
</file>

<file path=xl/sharedStrings.xml><?xml version="1.0" encoding="utf-8"?>
<sst xmlns="http://schemas.openxmlformats.org/spreadsheetml/2006/main" count="84" uniqueCount="68">
  <si>
    <t>CUADRO No. 19-14</t>
  </si>
  <si>
    <t>BANCO DEL PACIFICO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</si>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</sst>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79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0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2" fontId="2" fillId="0" borderId="0" xfId="19" applyNumberFormat="1" applyFont="1" applyAlignment="1">
      <alignment/>
    </xf>
    <xf numFmtId="182" fontId="2" fillId="0" borderId="1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11.421875" defaultRowHeight="12.75"/>
  <cols>
    <col min="1" max="1" width="3.57421875" style="1" customWidth="1"/>
    <col min="2" max="2" width="39.00390625" style="1" customWidth="1"/>
    <col min="3" max="3" width="9.140625" style="1" customWidth="1"/>
    <col min="4" max="4" width="9.8515625" style="1" customWidth="1"/>
    <col min="5" max="6" width="7.140625" style="1" bestFit="1" customWidth="1"/>
    <col min="7" max="7" width="8.7109375" style="1" customWidth="1"/>
    <col min="8" max="8" width="9.8515625" style="1" customWidth="1"/>
    <col min="9" max="9" width="8.57421875" style="1" bestFit="1" customWidth="1"/>
    <col min="10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36"/>
      <c r="C2" s="36"/>
      <c r="D2" s="36"/>
      <c r="E2" s="36"/>
      <c r="F2" s="36" t="s">
        <v>0</v>
      </c>
      <c r="H2" s="36"/>
      <c r="I2" s="36"/>
      <c r="J2" s="36"/>
      <c r="K2" s="36"/>
      <c r="L2" s="36"/>
    </row>
    <row r="3" spans="2:12" ht="11.25">
      <c r="B3" s="36"/>
      <c r="C3" s="36"/>
      <c r="D3" s="36"/>
      <c r="E3" s="36"/>
      <c r="F3" s="36" t="s">
        <v>1</v>
      </c>
      <c r="H3" s="36"/>
      <c r="I3" s="36"/>
      <c r="J3" s="36"/>
      <c r="K3" s="36"/>
      <c r="L3" s="36"/>
    </row>
    <row r="4" spans="2:12" ht="11.25">
      <c r="B4" s="36"/>
      <c r="C4" s="36"/>
      <c r="D4" s="36"/>
      <c r="E4" s="36"/>
      <c r="F4" s="36" t="s">
        <v>2</v>
      </c>
      <c r="H4" s="36"/>
      <c r="I4" s="36"/>
      <c r="J4" s="36"/>
      <c r="K4" s="36"/>
      <c r="L4" s="36"/>
    </row>
    <row r="5" spans="2:12" ht="11.25">
      <c r="B5" s="35"/>
      <c r="C5" s="35"/>
      <c r="D5" s="35"/>
      <c r="E5" s="35"/>
      <c r="F5" s="35" t="s">
        <v>3</v>
      </c>
      <c r="H5" s="35"/>
      <c r="I5" s="35"/>
      <c r="J5" s="35"/>
      <c r="K5" s="35"/>
      <c r="L5" s="35"/>
    </row>
    <row r="6" spans="1:12" ht="11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3">
        <v>2001</v>
      </c>
      <c r="D8" s="43"/>
      <c r="E8" s="43"/>
      <c r="F8" s="44"/>
      <c r="G8" s="42">
        <v>2000</v>
      </c>
      <c r="H8" s="43"/>
      <c r="I8" s="43"/>
      <c r="J8" s="44"/>
      <c r="K8" s="43" t="s">
        <v>4</v>
      </c>
      <c r="L8" s="43"/>
    </row>
    <row r="9" spans="1:12" s="4" customFormat="1" ht="11.25">
      <c r="A9" s="37"/>
      <c r="B9" s="37"/>
      <c r="C9" s="38" t="s">
        <v>5</v>
      </c>
      <c r="D9" s="38" t="s">
        <v>6</v>
      </c>
      <c r="E9" s="37" t="s">
        <v>7</v>
      </c>
      <c r="F9" s="37" t="s">
        <v>8</v>
      </c>
      <c r="G9" s="39" t="s">
        <v>5</v>
      </c>
      <c r="H9" s="38" t="s">
        <v>6</v>
      </c>
      <c r="I9" s="38" t="s">
        <v>7</v>
      </c>
      <c r="J9" s="40" t="s">
        <v>8</v>
      </c>
      <c r="K9" s="41" t="s">
        <v>9</v>
      </c>
      <c r="L9" s="41" t="s">
        <v>10</v>
      </c>
    </row>
    <row r="10" spans="1:12" ht="11.25">
      <c r="A10" s="4" t="s">
        <v>11</v>
      </c>
      <c r="B10" s="4"/>
      <c r="C10" s="4"/>
      <c r="D10" s="4"/>
      <c r="E10" s="4"/>
      <c r="F10" s="5"/>
      <c r="G10" s="6"/>
      <c r="H10" s="7"/>
      <c r="I10" s="7"/>
      <c r="J10" s="8"/>
      <c r="K10" s="5"/>
      <c r="L10" s="5"/>
    </row>
    <row r="11" spans="1:12" ht="11.25">
      <c r="A11" s="1" t="s">
        <v>12</v>
      </c>
      <c r="C11" s="9">
        <v>57334</v>
      </c>
      <c r="D11" s="9">
        <v>63355</v>
      </c>
      <c r="E11" s="9">
        <v>89321</v>
      </c>
      <c r="F11" s="9">
        <v>83283</v>
      </c>
      <c r="G11" s="10">
        <v>83420</v>
      </c>
      <c r="H11" s="11">
        <v>85911</v>
      </c>
      <c r="I11" s="11">
        <v>87560</v>
      </c>
      <c r="J11" s="12">
        <v>97483</v>
      </c>
      <c r="K11" s="9">
        <v>104469</v>
      </c>
      <c r="L11" s="9">
        <v>268953</v>
      </c>
    </row>
    <row r="12" spans="1:12" ht="11.25">
      <c r="A12" s="1" t="s">
        <v>13</v>
      </c>
      <c r="C12" s="9">
        <v>25466</v>
      </c>
      <c r="D12" s="9">
        <v>22005</v>
      </c>
      <c r="E12" s="9">
        <v>30194</v>
      </c>
      <c r="F12" s="9">
        <v>20321</v>
      </c>
      <c r="G12" s="10">
        <v>15153</v>
      </c>
      <c r="H12" s="11">
        <v>16928</v>
      </c>
      <c r="I12" s="11">
        <v>19328</v>
      </c>
      <c r="J12" s="12">
        <v>21844</v>
      </c>
      <c r="K12" s="9">
        <v>20791</v>
      </c>
      <c r="L12" s="9">
        <v>84015</v>
      </c>
    </row>
    <row r="13" spans="1:12" ht="11.25">
      <c r="A13" s="1" t="s">
        <v>14</v>
      </c>
      <c r="C13" s="9">
        <f aca="true" t="shared" si="0" ref="C13:L13">C14+C15</f>
        <v>25668</v>
      </c>
      <c r="D13" s="9">
        <f t="shared" si="0"/>
        <v>34979</v>
      </c>
      <c r="E13" s="9">
        <f t="shared" si="0"/>
        <v>52489</v>
      </c>
      <c r="F13" s="9">
        <f t="shared" si="0"/>
        <v>56150</v>
      </c>
      <c r="G13" s="10">
        <f t="shared" si="0"/>
        <v>61138</v>
      </c>
      <c r="H13" s="11">
        <f t="shared" si="0"/>
        <v>60726</v>
      </c>
      <c r="I13" s="11">
        <f t="shared" si="0"/>
        <v>59856</v>
      </c>
      <c r="J13" s="12">
        <f t="shared" si="0"/>
        <v>66647</v>
      </c>
      <c r="K13" s="9">
        <f t="shared" si="0"/>
        <v>74402</v>
      </c>
      <c r="L13" s="9">
        <f t="shared" si="0"/>
        <v>167251</v>
      </c>
    </row>
    <row r="14" spans="2:12" ht="11.25">
      <c r="B14" s="1" t="s">
        <v>15</v>
      </c>
      <c r="C14" s="9">
        <v>0</v>
      </c>
      <c r="D14" s="9">
        <v>0</v>
      </c>
      <c r="E14" s="9">
        <v>0</v>
      </c>
      <c r="F14" s="9">
        <v>0</v>
      </c>
      <c r="G14" s="10"/>
      <c r="H14" s="11">
        <v>0</v>
      </c>
      <c r="I14" s="11">
        <v>0</v>
      </c>
      <c r="J14" s="12">
        <v>0</v>
      </c>
      <c r="K14" s="9">
        <v>0</v>
      </c>
      <c r="L14" s="9">
        <v>0</v>
      </c>
    </row>
    <row r="15" spans="2:12" ht="11.25">
      <c r="B15" s="1" t="s">
        <v>16</v>
      </c>
      <c r="C15" s="9">
        <v>25668</v>
      </c>
      <c r="D15" s="9">
        <v>34979</v>
      </c>
      <c r="E15" s="9">
        <v>52489</v>
      </c>
      <c r="F15" s="9">
        <v>56150</v>
      </c>
      <c r="G15" s="10">
        <v>61138</v>
      </c>
      <c r="H15" s="11">
        <v>60726</v>
      </c>
      <c r="I15" s="11">
        <v>59856</v>
      </c>
      <c r="J15" s="12">
        <v>66647</v>
      </c>
      <c r="K15" s="9">
        <v>74402</v>
      </c>
      <c r="L15" s="9">
        <v>167251</v>
      </c>
    </row>
    <row r="16" spans="1:12" ht="11.25">
      <c r="A16" s="1" t="s">
        <v>17</v>
      </c>
      <c r="C16" s="9">
        <v>55</v>
      </c>
      <c r="D16" s="9">
        <v>55</v>
      </c>
      <c r="E16" s="9">
        <v>55</v>
      </c>
      <c r="F16" s="9">
        <v>55</v>
      </c>
      <c r="G16" s="10">
        <v>146</v>
      </c>
      <c r="H16" s="11">
        <v>236</v>
      </c>
      <c r="I16" s="11">
        <v>236</v>
      </c>
      <c r="J16" s="12">
        <v>313</v>
      </c>
      <c r="K16" s="9">
        <v>313</v>
      </c>
      <c r="L16" s="9">
        <v>3755</v>
      </c>
    </row>
    <row r="17" spans="1:12" ht="11.25">
      <c r="A17" s="1" t="s">
        <v>18</v>
      </c>
      <c r="C17" s="9">
        <f aca="true" t="shared" si="1" ref="C17:L17">C18+C22</f>
        <v>40431</v>
      </c>
      <c r="D17" s="9">
        <f t="shared" si="1"/>
        <v>46645</v>
      </c>
      <c r="E17" s="9">
        <f t="shared" si="1"/>
        <v>71447</v>
      </c>
      <c r="F17" s="9">
        <f t="shared" si="1"/>
        <v>65072</v>
      </c>
      <c r="G17" s="10">
        <f t="shared" si="1"/>
        <v>64914</v>
      </c>
      <c r="H17" s="11">
        <f t="shared" si="1"/>
        <v>70895</v>
      </c>
      <c r="I17" s="11">
        <f t="shared" si="1"/>
        <v>72126</v>
      </c>
      <c r="J17" s="12">
        <f t="shared" si="1"/>
        <v>81736</v>
      </c>
      <c r="K17" s="9">
        <f t="shared" si="1"/>
        <v>87819</v>
      </c>
      <c r="L17" s="9">
        <f t="shared" si="1"/>
        <v>244648</v>
      </c>
    </row>
    <row r="18" spans="2:12" ht="11.25">
      <c r="B18" s="1" t="s">
        <v>15</v>
      </c>
      <c r="C18" s="9">
        <f aca="true" t="shared" si="2" ref="C18:L18">SUM(C19:C21)</f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10">
        <f t="shared" si="2"/>
        <v>0</v>
      </c>
      <c r="H18" s="11">
        <f t="shared" si="2"/>
        <v>0</v>
      </c>
      <c r="I18" s="11">
        <f t="shared" si="2"/>
        <v>0</v>
      </c>
      <c r="J18" s="12">
        <f t="shared" si="2"/>
        <v>0</v>
      </c>
      <c r="K18" s="9">
        <f t="shared" si="2"/>
        <v>0</v>
      </c>
      <c r="L18" s="9">
        <f t="shared" si="2"/>
        <v>100</v>
      </c>
    </row>
    <row r="19" spans="2:12" ht="11.25">
      <c r="B19" s="1" t="s">
        <v>19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11">
        <v>0</v>
      </c>
      <c r="I19" s="11">
        <v>0</v>
      </c>
      <c r="J19" s="12">
        <v>0</v>
      </c>
      <c r="K19" s="9">
        <v>0</v>
      </c>
      <c r="L19" s="9">
        <v>0</v>
      </c>
    </row>
    <row r="20" spans="2:12" ht="11.25">
      <c r="B20" s="1" t="s">
        <v>20</v>
      </c>
      <c r="C20" s="9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11">
        <v>0</v>
      </c>
      <c r="J20" s="12">
        <v>0</v>
      </c>
      <c r="K20" s="9">
        <v>0</v>
      </c>
      <c r="L20" s="9">
        <v>0</v>
      </c>
    </row>
    <row r="21" spans="2:12" ht="11.25">
      <c r="B21" s="1" t="s">
        <v>21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11">
        <v>0</v>
      </c>
      <c r="J21" s="12">
        <v>0</v>
      </c>
      <c r="K21" s="9">
        <v>0</v>
      </c>
      <c r="L21" s="9">
        <v>100</v>
      </c>
    </row>
    <row r="22" spans="2:12" ht="11.25">
      <c r="B22" s="1" t="s">
        <v>16</v>
      </c>
      <c r="C22" s="9">
        <f aca="true" t="shared" si="3" ref="C22:L22">SUM(C23:C24)</f>
        <v>40431</v>
      </c>
      <c r="D22" s="9">
        <f t="shared" si="3"/>
        <v>46645</v>
      </c>
      <c r="E22" s="9">
        <f t="shared" si="3"/>
        <v>71447</v>
      </c>
      <c r="F22" s="9">
        <f t="shared" si="3"/>
        <v>65072</v>
      </c>
      <c r="G22" s="10">
        <f t="shared" si="3"/>
        <v>64914</v>
      </c>
      <c r="H22" s="11">
        <f t="shared" si="3"/>
        <v>70895</v>
      </c>
      <c r="I22" s="11">
        <f t="shared" si="3"/>
        <v>72126</v>
      </c>
      <c r="J22" s="12">
        <f t="shared" si="3"/>
        <v>81736</v>
      </c>
      <c r="K22" s="9">
        <f t="shared" si="3"/>
        <v>87819</v>
      </c>
      <c r="L22" s="9">
        <f t="shared" si="3"/>
        <v>244548</v>
      </c>
    </row>
    <row r="23" spans="2:12" ht="11.25">
      <c r="B23" s="1" t="s">
        <v>20</v>
      </c>
      <c r="C23" s="9">
        <f>37540+2724</f>
        <v>40264</v>
      </c>
      <c r="D23" s="9">
        <f>2687+43107</f>
        <v>45794</v>
      </c>
      <c r="E23" s="9">
        <v>71273</v>
      </c>
      <c r="F23" s="9">
        <v>64894</v>
      </c>
      <c r="G23" s="10">
        <f>3184+61126</f>
        <v>64310</v>
      </c>
      <c r="H23" s="11">
        <v>70368</v>
      </c>
      <c r="I23" s="11">
        <v>71833</v>
      </c>
      <c r="J23" s="12">
        <v>75959</v>
      </c>
      <c r="K23" s="9">
        <v>87760</v>
      </c>
      <c r="L23" s="9">
        <v>236508</v>
      </c>
    </row>
    <row r="24" spans="2:12" ht="11.25">
      <c r="B24" s="1" t="s">
        <v>21</v>
      </c>
      <c r="C24" s="9">
        <v>167</v>
      </c>
      <c r="D24" s="9">
        <f>831+20</f>
        <v>851</v>
      </c>
      <c r="E24" s="9">
        <v>174</v>
      </c>
      <c r="F24" s="9">
        <v>178</v>
      </c>
      <c r="G24" s="10">
        <v>604</v>
      </c>
      <c r="H24" s="11">
        <v>527</v>
      </c>
      <c r="I24" s="11">
        <v>293</v>
      </c>
      <c r="J24" s="12">
        <v>5777</v>
      </c>
      <c r="K24" s="9">
        <v>59</v>
      </c>
      <c r="L24" s="9">
        <v>8040</v>
      </c>
    </row>
    <row r="25" spans="1:12" ht="11.25">
      <c r="A25" s="2" t="s">
        <v>22</v>
      </c>
      <c r="B25" s="2"/>
      <c r="C25" s="13">
        <v>4910</v>
      </c>
      <c r="D25" s="13">
        <v>5318</v>
      </c>
      <c r="E25" s="13">
        <v>5403</v>
      </c>
      <c r="F25" s="13">
        <v>5763</v>
      </c>
      <c r="G25" s="14">
        <v>5889</v>
      </c>
      <c r="H25" s="13">
        <v>5676</v>
      </c>
      <c r="I25" s="13">
        <v>6525</v>
      </c>
      <c r="J25" s="15">
        <v>7097</v>
      </c>
      <c r="K25" s="13">
        <v>7658</v>
      </c>
      <c r="L25" s="13">
        <v>17989</v>
      </c>
    </row>
    <row r="26" spans="1:12" ht="11.25">
      <c r="A26" s="4" t="s">
        <v>23</v>
      </c>
      <c r="F26" s="9"/>
      <c r="G26" s="10"/>
      <c r="H26" s="11"/>
      <c r="I26" s="11"/>
      <c r="J26" s="12"/>
      <c r="K26" s="9"/>
      <c r="L26" s="9"/>
    </row>
    <row r="27" spans="1:12" ht="11.25">
      <c r="A27" s="1" t="s">
        <v>12</v>
      </c>
      <c r="C27" s="9">
        <f>(C11+G11)/2</f>
        <v>70377</v>
      </c>
      <c r="D27" s="9">
        <f>(D11+H11)/2</f>
        <v>74633</v>
      </c>
      <c r="E27" s="9">
        <f>(E11+I11)/2</f>
        <v>88440.5</v>
      </c>
      <c r="F27" s="9">
        <f>+(F11+J11)/2</f>
        <v>90383</v>
      </c>
      <c r="G27" s="10">
        <f>+(G11+K11)/2</f>
        <v>93944.5</v>
      </c>
      <c r="H27" s="11">
        <f>+(133544+H11)/2</f>
        <v>109727.5</v>
      </c>
      <c r="I27" s="11">
        <f>+(161167+I11)/2</f>
        <v>124363.5</v>
      </c>
      <c r="J27" s="12">
        <f>+(235508+J11)/2</f>
        <v>166495.5</v>
      </c>
      <c r="K27" s="9">
        <f>(K11+L11)/2</f>
        <v>186711</v>
      </c>
      <c r="L27" s="9">
        <f>(L11+338798)/2</f>
        <v>303875.5</v>
      </c>
    </row>
    <row r="28" spans="1:12" ht="11.25">
      <c r="A28" s="1" t="s">
        <v>24</v>
      </c>
      <c r="C28" s="9">
        <f aca="true" t="shared" si="4" ref="C28:L28">C29+C30</f>
        <v>43503.5</v>
      </c>
      <c r="D28" s="9">
        <f t="shared" si="4"/>
        <v>47998</v>
      </c>
      <c r="E28" s="9">
        <f t="shared" si="4"/>
        <v>56318</v>
      </c>
      <c r="F28" s="9">
        <f t="shared" si="4"/>
        <v>61582.5</v>
      </c>
      <c r="G28" s="10">
        <f t="shared" si="4"/>
        <v>67999.5</v>
      </c>
      <c r="H28" s="11">
        <f t="shared" si="4"/>
        <v>75476</v>
      </c>
      <c r="I28" s="11">
        <f t="shared" si="4"/>
        <v>84316</v>
      </c>
      <c r="J28" s="12">
        <f t="shared" si="4"/>
        <v>120587.5</v>
      </c>
      <c r="K28" s="9">
        <f t="shared" si="4"/>
        <v>122860.5</v>
      </c>
      <c r="L28" s="9">
        <f t="shared" si="4"/>
        <v>209285</v>
      </c>
    </row>
    <row r="29" spans="2:12" ht="11.25">
      <c r="B29" s="1" t="s">
        <v>14</v>
      </c>
      <c r="C29" s="9">
        <f>(C13+G13)/2</f>
        <v>43403</v>
      </c>
      <c r="D29" s="9">
        <f>(D13+H13)/2</f>
        <v>47852.5</v>
      </c>
      <c r="E29" s="9">
        <f>(E13+I13)/2</f>
        <v>56172.5</v>
      </c>
      <c r="F29" s="9">
        <f>+(F13+J13)/2</f>
        <v>61398.5</v>
      </c>
      <c r="G29" s="10">
        <f>+(G13+K13)/2</f>
        <v>67770</v>
      </c>
      <c r="H29" s="11">
        <f>+(89573+H13)/2</f>
        <v>75149.5</v>
      </c>
      <c r="I29" s="11">
        <f>+(108123+I13)/2</f>
        <v>83989.5</v>
      </c>
      <c r="J29" s="12">
        <f>+(170510+J13)/2</f>
        <v>118578.5</v>
      </c>
      <c r="K29" s="9">
        <f>(K13+L13)/2</f>
        <v>120826.5</v>
      </c>
      <c r="L29" s="9">
        <f>(L13+202469)/2</f>
        <v>184860</v>
      </c>
    </row>
    <row r="30" spans="2:12" ht="11.25">
      <c r="B30" s="1" t="s">
        <v>17</v>
      </c>
      <c r="C30" s="9">
        <f>(C16+G16)/2</f>
        <v>100.5</v>
      </c>
      <c r="D30" s="9">
        <f>(D16+H16)/2</f>
        <v>145.5</v>
      </c>
      <c r="E30" s="9">
        <f>(E16+I16)/2</f>
        <v>145.5</v>
      </c>
      <c r="F30" s="9">
        <f>+(F16+J16)/2</f>
        <v>184</v>
      </c>
      <c r="G30" s="10">
        <f>+(G16+K16)/2</f>
        <v>229.5</v>
      </c>
      <c r="H30" s="11">
        <f>+(417+H16)/2</f>
        <v>326.5</v>
      </c>
      <c r="I30" s="11">
        <f>+(417+I16)/2</f>
        <v>326.5</v>
      </c>
      <c r="J30" s="12">
        <f>+(3705+J16)/2</f>
        <v>2009</v>
      </c>
      <c r="K30" s="9">
        <f>(K16+L16)/2</f>
        <v>2034</v>
      </c>
      <c r="L30" s="9">
        <f>(L16+45095)/2</f>
        <v>24425</v>
      </c>
    </row>
    <row r="31" spans="1:12" ht="11.25">
      <c r="A31" s="2" t="s">
        <v>22</v>
      </c>
      <c r="B31" s="2"/>
      <c r="C31" s="13">
        <f>(C25+G25)/2</f>
        <v>5399.5</v>
      </c>
      <c r="D31" s="13">
        <f>(D25+H25)/2</f>
        <v>5497</v>
      </c>
      <c r="E31" s="13">
        <f>(E25+I25)/2</f>
        <v>5964</v>
      </c>
      <c r="F31" s="13">
        <f>+(F25+J25)/2</f>
        <v>6430</v>
      </c>
      <c r="G31" s="14">
        <f>+(G25+K25)/2</f>
        <v>6773.5</v>
      </c>
      <c r="H31" s="13">
        <f>+(7934+H25)/2</f>
        <v>6805</v>
      </c>
      <c r="I31" s="13">
        <f>+(13906+I25)/2</f>
        <v>10215.5</v>
      </c>
      <c r="J31" s="15">
        <f>+(14870+J25)/2</f>
        <v>10983.5</v>
      </c>
      <c r="K31" s="13">
        <f>(K25+L25)/2</f>
        <v>12823.5</v>
      </c>
      <c r="L31" s="13">
        <f>(L25+18439)/2</f>
        <v>18214</v>
      </c>
    </row>
    <row r="32" spans="1:10" ht="11.25">
      <c r="A32" s="4" t="s">
        <v>25</v>
      </c>
      <c r="F32" s="9"/>
      <c r="G32" s="16"/>
      <c r="H32" s="17"/>
      <c r="I32" s="17"/>
      <c r="J32" s="18"/>
    </row>
    <row r="33" spans="1:12" ht="11.25">
      <c r="A33" s="1" t="s">
        <v>26</v>
      </c>
      <c r="C33" s="9">
        <v>5345</v>
      </c>
      <c r="D33" s="9">
        <v>4440</v>
      </c>
      <c r="E33" s="9">
        <v>3019</v>
      </c>
      <c r="F33" s="9">
        <v>1600</v>
      </c>
      <c r="G33" s="10">
        <v>8921</v>
      </c>
      <c r="H33" s="11">
        <v>7007</v>
      </c>
      <c r="I33" s="11">
        <v>4886</v>
      </c>
      <c r="J33" s="12">
        <v>2591</v>
      </c>
      <c r="K33" s="9">
        <v>20029</v>
      </c>
      <c r="L33" s="9">
        <v>29346</v>
      </c>
    </row>
    <row r="34" spans="1:12" ht="11.25">
      <c r="A34" s="1" t="s">
        <v>27</v>
      </c>
      <c r="C34" s="9">
        <v>4444</v>
      </c>
      <c r="D34" s="9">
        <v>3608</v>
      </c>
      <c r="E34" s="9">
        <v>2589</v>
      </c>
      <c r="F34" s="9">
        <v>1304</v>
      </c>
      <c r="G34" s="10">
        <v>7547</v>
      </c>
      <c r="H34" s="11">
        <v>5883</v>
      </c>
      <c r="I34" s="11">
        <v>4114</v>
      </c>
      <c r="J34" s="12">
        <v>2188</v>
      </c>
      <c r="K34" s="9">
        <v>17194</v>
      </c>
      <c r="L34" s="9">
        <v>20061</v>
      </c>
    </row>
    <row r="35" spans="1:12" ht="11.25">
      <c r="A35" s="1" t="s">
        <v>28</v>
      </c>
      <c r="C35" s="19">
        <f>+C33-C34</f>
        <v>901</v>
      </c>
      <c r="D35" s="9">
        <f aca="true" t="shared" si="5" ref="D35:L35">D33-D34</f>
        <v>832</v>
      </c>
      <c r="E35" s="9">
        <f t="shared" si="5"/>
        <v>430</v>
      </c>
      <c r="F35" s="9">
        <f t="shared" si="5"/>
        <v>296</v>
      </c>
      <c r="G35" s="10">
        <f t="shared" si="5"/>
        <v>1374</v>
      </c>
      <c r="H35" s="11">
        <f t="shared" si="5"/>
        <v>1124</v>
      </c>
      <c r="I35" s="11">
        <f t="shared" si="5"/>
        <v>772</v>
      </c>
      <c r="J35" s="12">
        <f t="shared" si="5"/>
        <v>403</v>
      </c>
      <c r="K35" s="9">
        <f t="shared" si="5"/>
        <v>2835</v>
      </c>
      <c r="L35" s="9">
        <f t="shared" si="5"/>
        <v>9285</v>
      </c>
    </row>
    <row r="36" spans="1:12" ht="11.25">
      <c r="A36" s="1" t="s">
        <v>29</v>
      </c>
      <c r="C36" s="9">
        <v>304</v>
      </c>
      <c r="D36" s="9">
        <v>182</v>
      </c>
      <c r="E36" s="9">
        <v>145</v>
      </c>
      <c r="F36" s="9">
        <v>106</v>
      </c>
      <c r="G36" s="10">
        <v>180</v>
      </c>
      <c r="H36" s="11">
        <v>133</v>
      </c>
      <c r="I36" s="11">
        <v>93</v>
      </c>
      <c r="J36" s="12">
        <v>40</v>
      </c>
      <c r="K36" s="9">
        <v>2130</v>
      </c>
      <c r="L36" s="9">
        <v>6337</v>
      </c>
    </row>
    <row r="37" spans="1:12" ht="11.25">
      <c r="A37" s="1" t="s">
        <v>30</v>
      </c>
      <c r="C37" s="19">
        <f>+C36+C35</f>
        <v>1205</v>
      </c>
      <c r="D37" s="9">
        <f>D35+D36</f>
        <v>1014</v>
      </c>
      <c r="E37" s="9">
        <v>575</v>
      </c>
      <c r="F37" s="9">
        <f aca="true" t="shared" si="6" ref="F37:L37">F35+F36</f>
        <v>402</v>
      </c>
      <c r="G37" s="10">
        <f t="shared" si="6"/>
        <v>1554</v>
      </c>
      <c r="H37" s="11">
        <f t="shared" si="6"/>
        <v>1257</v>
      </c>
      <c r="I37" s="11">
        <f t="shared" si="6"/>
        <v>865</v>
      </c>
      <c r="J37" s="12">
        <f t="shared" si="6"/>
        <v>443</v>
      </c>
      <c r="K37" s="9">
        <f t="shared" si="6"/>
        <v>4965</v>
      </c>
      <c r="L37" s="9">
        <f t="shared" si="6"/>
        <v>15622</v>
      </c>
    </row>
    <row r="38" spans="1:12" ht="11.25">
      <c r="A38" s="1" t="s">
        <v>31</v>
      </c>
      <c r="C38" s="9">
        <v>2165</v>
      </c>
      <c r="D38" s="9">
        <v>1584</v>
      </c>
      <c r="E38" s="9">
        <v>1061</v>
      </c>
      <c r="F38" s="9">
        <v>528</v>
      </c>
      <c r="G38" s="10">
        <v>3571</v>
      </c>
      <c r="H38" s="11">
        <v>2944</v>
      </c>
      <c r="I38" s="11">
        <v>1998</v>
      </c>
      <c r="J38" s="12">
        <v>1003</v>
      </c>
      <c r="K38" s="9">
        <v>5435</v>
      </c>
      <c r="L38" s="9">
        <v>5507</v>
      </c>
    </row>
    <row r="39" spans="1:12" ht="11.25">
      <c r="A39" s="1" t="s">
        <v>32</v>
      </c>
      <c r="C39" s="19">
        <f>+C37-C38</f>
        <v>-960</v>
      </c>
      <c r="D39" s="9">
        <f aca="true" t="shared" si="7" ref="D39:L39">D37-D38</f>
        <v>-570</v>
      </c>
      <c r="E39" s="9">
        <f t="shared" si="7"/>
        <v>-486</v>
      </c>
      <c r="F39" s="9">
        <f t="shared" si="7"/>
        <v>-126</v>
      </c>
      <c r="G39" s="10">
        <f t="shared" si="7"/>
        <v>-2017</v>
      </c>
      <c r="H39" s="11">
        <f t="shared" si="7"/>
        <v>-1687</v>
      </c>
      <c r="I39" s="11">
        <f t="shared" si="7"/>
        <v>-1133</v>
      </c>
      <c r="J39" s="12">
        <f t="shared" si="7"/>
        <v>-560</v>
      </c>
      <c r="K39" s="9">
        <f t="shared" si="7"/>
        <v>-470</v>
      </c>
      <c r="L39" s="9">
        <f t="shared" si="7"/>
        <v>10115</v>
      </c>
    </row>
    <row r="40" spans="1:12" ht="11.25">
      <c r="A40" s="2" t="s">
        <v>33</v>
      </c>
      <c r="B40" s="2"/>
      <c r="C40" s="13">
        <v>-960</v>
      </c>
      <c r="D40" s="13">
        <v>-570</v>
      </c>
      <c r="E40" s="13">
        <v>-486</v>
      </c>
      <c r="F40" s="13">
        <v>-126</v>
      </c>
      <c r="G40" s="14">
        <v>-5837</v>
      </c>
      <c r="H40" s="13">
        <v>-1980</v>
      </c>
      <c r="I40" s="13">
        <v>-1133</v>
      </c>
      <c r="J40" s="15">
        <v>-560</v>
      </c>
      <c r="K40" s="13">
        <v>-1365</v>
      </c>
      <c r="L40" s="13">
        <v>164</v>
      </c>
    </row>
    <row r="41" spans="1:12" ht="11.25">
      <c r="A41" s="4" t="s">
        <v>34</v>
      </c>
      <c r="B41" s="3"/>
      <c r="C41" s="17"/>
      <c r="D41" s="17"/>
      <c r="E41" s="9"/>
      <c r="F41" s="3"/>
      <c r="G41" s="20"/>
      <c r="H41" s="3"/>
      <c r="I41" s="3"/>
      <c r="J41" s="21"/>
      <c r="K41" s="3"/>
      <c r="L41" s="3"/>
    </row>
    <row r="42" spans="1:12" ht="11.25">
      <c r="A42" s="1" t="s">
        <v>35</v>
      </c>
      <c r="B42" s="17"/>
      <c r="C42" s="11">
        <v>11446</v>
      </c>
      <c r="D42" s="9">
        <v>11222</v>
      </c>
      <c r="E42" s="9">
        <v>11222</v>
      </c>
      <c r="F42" s="11">
        <v>11258</v>
      </c>
      <c r="G42" s="10">
        <v>10826</v>
      </c>
      <c r="H42" s="11">
        <v>10937</v>
      </c>
      <c r="I42" s="11">
        <v>7754</v>
      </c>
      <c r="J42" s="12">
        <v>6290</v>
      </c>
      <c r="K42" s="11">
        <v>6290</v>
      </c>
      <c r="L42" s="11">
        <v>4153</v>
      </c>
    </row>
    <row r="43" spans="1:12" ht="11.25">
      <c r="A43" s="1" t="s">
        <v>36</v>
      </c>
      <c r="B43" s="17"/>
      <c r="C43" s="11">
        <v>10827</v>
      </c>
      <c r="D43" s="9">
        <v>10879</v>
      </c>
      <c r="E43" s="9">
        <v>10879</v>
      </c>
      <c r="F43" s="11">
        <v>10879</v>
      </c>
      <c r="G43" s="10">
        <v>10952</v>
      </c>
      <c r="H43" s="11">
        <v>6922</v>
      </c>
      <c r="I43" s="11">
        <v>6628</v>
      </c>
      <c r="J43" s="12">
        <v>6628</v>
      </c>
      <c r="K43" s="11">
        <v>6628</v>
      </c>
      <c r="L43" s="11">
        <v>1569</v>
      </c>
    </row>
    <row r="44" spans="1:12" ht="11.25">
      <c r="A44" s="1" t="s">
        <v>37</v>
      </c>
      <c r="B44" s="17"/>
      <c r="C44" s="22">
        <f aca="true" t="shared" si="8" ref="C44:L44">C42/C13</f>
        <v>0.4459248870188562</v>
      </c>
      <c r="D44" s="22">
        <f t="shared" si="8"/>
        <v>0.32082106406701166</v>
      </c>
      <c r="E44" s="22">
        <f t="shared" si="8"/>
        <v>0.21379717655127742</v>
      </c>
      <c r="F44" s="23">
        <f t="shared" si="8"/>
        <v>0.2004986642920748</v>
      </c>
      <c r="G44" s="24">
        <f t="shared" si="8"/>
        <v>0.17707481435441133</v>
      </c>
      <c r="H44" s="23">
        <f t="shared" si="8"/>
        <v>0.18010407403747983</v>
      </c>
      <c r="I44" s="23">
        <f t="shared" si="8"/>
        <v>0.12954423950815291</v>
      </c>
      <c r="J44" s="25">
        <f t="shared" si="8"/>
        <v>0.09437784146323165</v>
      </c>
      <c r="K44" s="23">
        <f t="shared" si="8"/>
        <v>0.08454073815220021</v>
      </c>
      <c r="L44" s="23">
        <f t="shared" si="8"/>
        <v>0.024830942714841764</v>
      </c>
    </row>
    <row r="45" spans="1:12" ht="11.25">
      <c r="A45" s="17" t="s">
        <v>38</v>
      </c>
      <c r="B45" s="17"/>
      <c r="C45" s="23">
        <f aca="true" t="shared" si="9" ref="C45:L45">C43/C42</f>
        <v>0.945919972042635</v>
      </c>
      <c r="D45" s="23">
        <f t="shared" si="9"/>
        <v>0.9694350383175905</v>
      </c>
      <c r="E45" s="23">
        <f t="shared" si="9"/>
        <v>0.9694350383175905</v>
      </c>
      <c r="F45" s="23">
        <f t="shared" si="9"/>
        <v>0.9663350506306626</v>
      </c>
      <c r="G45" s="24">
        <f t="shared" si="9"/>
        <v>1.0116386476999815</v>
      </c>
      <c r="H45" s="23">
        <f t="shared" si="9"/>
        <v>0.6328975038858919</v>
      </c>
      <c r="I45" s="23">
        <f t="shared" si="9"/>
        <v>0.8547846272891411</v>
      </c>
      <c r="J45" s="25">
        <f t="shared" si="9"/>
        <v>1.0537360890302068</v>
      </c>
      <c r="K45" s="23">
        <f t="shared" si="9"/>
        <v>1.0537360890302068</v>
      </c>
      <c r="L45" s="23">
        <f t="shared" si="9"/>
        <v>0.37779918131471224</v>
      </c>
    </row>
    <row r="46" spans="1:12" ht="11.25">
      <c r="A46" s="1" t="s">
        <v>39</v>
      </c>
      <c r="B46" s="2"/>
      <c r="C46" s="26">
        <f>C43/C13</f>
        <v>0.4218092566619916</v>
      </c>
      <c r="D46" s="26">
        <f>D43/D13</f>
        <v>0.3110151805368936</v>
      </c>
      <c r="E46" s="26">
        <f>E43/E13</f>
        <v>0.20726247404218026</v>
      </c>
      <c r="F46" s="26">
        <f>+F43/F13</f>
        <v>0.19374888691006234</v>
      </c>
      <c r="G46" s="27">
        <f>10952/G13</f>
        <v>0.17913572573522196</v>
      </c>
      <c r="H46" s="26">
        <f>6922/H13</f>
        <v>0.11398741889800086</v>
      </c>
      <c r="I46" s="26">
        <f>6628/I13</f>
        <v>0.1107324244854317</v>
      </c>
      <c r="J46" s="28">
        <f>6628/J13</f>
        <v>0.0994493375545786</v>
      </c>
      <c r="K46" s="26">
        <f>6628/K13</f>
        <v>0.08908362678422622</v>
      </c>
      <c r="L46" s="26">
        <f>1569/L13</f>
        <v>0.009381109828939737</v>
      </c>
    </row>
    <row r="47" spans="1:12" ht="11.25">
      <c r="A47" s="4" t="s">
        <v>40</v>
      </c>
      <c r="C47" s="3"/>
      <c r="D47" s="3"/>
      <c r="E47" s="3"/>
      <c r="F47" s="3"/>
      <c r="G47" s="20"/>
      <c r="H47" s="3"/>
      <c r="I47" s="3"/>
      <c r="J47" s="21"/>
      <c r="K47" s="3"/>
      <c r="L47" s="3"/>
    </row>
    <row r="48" spans="1:12" ht="11.25">
      <c r="A48" s="1" t="s">
        <v>41</v>
      </c>
      <c r="C48" s="23">
        <f aca="true" t="shared" si="10" ref="C48:L48">C25/C13</f>
        <v>0.1912887642200405</v>
      </c>
      <c r="D48" s="23">
        <f t="shared" si="10"/>
        <v>0.1520340775894108</v>
      </c>
      <c r="E48" s="23">
        <f t="shared" si="10"/>
        <v>0.10293585322639029</v>
      </c>
      <c r="F48" s="23">
        <f t="shared" si="10"/>
        <v>0.10263579697239537</v>
      </c>
      <c r="G48" s="23">
        <f t="shared" si="10"/>
        <v>0.09632307239360136</v>
      </c>
      <c r="H48" s="23">
        <f t="shared" si="10"/>
        <v>0.09346902479992096</v>
      </c>
      <c r="I48" s="23">
        <f t="shared" si="10"/>
        <v>0.10901162790697674</v>
      </c>
      <c r="J48" s="23">
        <f t="shared" si="10"/>
        <v>0.10648641349198014</v>
      </c>
      <c r="K48" s="23">
        <f t="shared" si="10"/>
        <v>0.1029273406628854</v>
      </c>
      <c r="L48" s="23">
        <f t="shared" si="10"/>
        <v>0.10755690548935433</v>
      </c>
    </row>
    <row r="49" spans="1:12" ht="11.25">
      <c r="A49" s="2" t="s">
        <v>42</v>
      </c>
      <c r="B49" s="2"/>
      <c r="C49" s="26">
        <f aca="true" t="shared" si="11" ref="C49:L49">C25/(C13+C16)</f>
        <v>0.1908797574155425</v>
      </c>
      <c r="D49" s="26">
        <f t="shared" si="11"/>
        <v>0.15179539875549466</v>
      </c>
      <c r="E49" s="26">
        <f t="shared" si="11"/>
        <v>0.10282810596833131</v>
      </c>
      <c r="F49" s="26">
        <f t="shared" si="11"/>
        <v>0.10253536162263144</v>
      </c>
      <c r="G49" s="26">
        <f t="shared" si="11"/>
        <v>0.09609359702369297</v>
      </c>
      <c r="H49" s="26">
        <f t="shared" si="11"/>
        <v>0.09310718152291592</v>
      </c>
      <c r="I49" s="26">
        <f t="shared" si="11"/>
        <v>0.10858350529188578</v>
      </c>
      <c r="J49" s="26">
        <f t="shared" si="11"/>
        <v>0.10598864994026284</v>
      </c>
      <c r="K49" s="26">
        <f t="shared" si="11"/>
        <v>0.10249615204443552</v>
      </c>
      <c r="L49" s="26">
        <f t="shared" si="11"/>
        <v>0.10519513935183561</v>
      </c>
    </row>
    <row r="50" spans="1:10" ht="11.25">
      <c r="A50" s="4" t="s">
        <v>43</v>
      </c>
      <c r="G50" s="16"/>
      <c r="H50" s="17"/>
      <c r="I50" s="17"/>
      <c r="J50" s="18"/>
    </row>
    <row r="51" spans="1:12" ht="11.25">
      <c r="A51" s="1" t="s">
        <v>44</v>
      </c>
      <c r="C51" s="29">
        <f aca="true" t="shared" si="12" ref="C51:L51">C12/C17</f>
        <v>0.6298632237639435</v>
      </c>
      <c r="D51" s="29">
        <f t="shared" si="12"/>
        <v>0.4717547432736628</v>
      </c>
      <c r="E51" s="29">
        <f t="shared" si="12"/>
        <v>0.42260696740241016</v>
      </c>
      <c r="F51" s="22">
        <f t="shared" si="12"/>
        <v>0.31228485370051634</v>
      </c>
      <c r="G51" s="24">
        <f t="shared" si="12"/>
        <v>0.2334319253165727</v>
      </c>
      <c r="H51" s="23">
        <f t="shared" si="12"/>
        <v>0.2387756541363989</v>
      </c>
      <c r="I51" s="23">
        <f t="shared" si="12"/>
        <v>0.26797548734159665</v>
      </c>
      <c r="J51" s="25">
        <f t="shared" si="12"/>
        <v>0.26725066066359987</v>
      </c>
      <c r="K51" s="22">
        <f t="shared" si="12"/>
        <v>0.23674831186873</v>
      </c>
      <c r="L51" s="22">
        <f t="shared" si="12"/>
        <v>0.34341175893528664</v>
      </c>
    </row>
    <row r="52" spans="1:12" ht="11.25">
      <c r="A52" s="1" t="s">
        <v>45</v>
      </c>
      <c r="C52" s="29">
        <f aca="true" t="shared" si="13" ref="C52:L52">C12/C11</f>
        <v>0.4441692538458855</v>
      </c>
      <c r="D52" s="29">
        <f t="shared" si="13"/>
        <v>0.34732854549759296</v>
      </c>
      <c r="E52" s="29">
        <f t="shared" si="13"/>
        <v>0.338039206905431</v>
      </c>
      <c r="F52" s="22">
        <f t="shared" si="13"/>
        <v>0.2439993756228762</v>
      </c>
      <c r="G52" s="24">
        <f t="shared" si="13"/>
        <v>0.18164708702948934</v>
      </c>
      <c r="H52" s="23">
        <f t="shared" si="13"/>
        <v>0.19704112395385923</v>
      </c>
      <c r="I52" s="23">
        <f t="shared" si="13"/>
        <v>0.22074006395614434</v>
      </c>
      <c r="J52" s="25">
        <f t="shared" si="13"/>
        <v>0.2240800960167414</v>
      </c>
      <c r="K52" s="22">
        <f t="shared" si="13"/>
        <v>0.19901597603116714</v>
      </c>
      <c r="L52" s="22">
        <f t="shared" si="13"/>
        <v>0.3123779991299595</v>
      </c>
    </row>
    <row r="53" spans="1:12" ht="11.25">
      <c r="A53" s="2" t="s">
        <v>46</v>
      </c>
      <c r="B53" s="2"/>
      <c r="C53" s="30">
        <f aca="true" t="shared" si="14" ref="C53:L53">(C12+C16)/C17</f>
        <v>0.6312235660755361</v>
      </c>
      <c r="D53" s="30">
        <f t="shared" si="14"/>
        <v>0.47293386215028405</v>
      </c>
      <c r="E53" s="30">
        <f t="shared" si="14"/>
        <v>0.4233767687936512</v>
      </c>
      <c r="F53" s="26">
        <f t="shared" si="14"/>
        <v>0.3131300713056307</v>
      </c>
      <c r="G53" s="27">
        <f t="shared" si="14"/>
        <v>0.23568105493422067</v>
      </c>
      <c r="H53" s="26">
        <f t="shared" si="14"/>
        <v>0.24210452077015304</v>
      </c>
      <c r="I53" s="26">
        <f t="shared" si="14"/>
        <v>0.2712475390289216</v>
      </c>
      <c r="J53" s="28">
        <f t="shared" si="14"/>
        <v>0.2710800626406969</v>
      </c>
      <c r="K53" s="26">
        <f t="shared" si="14"/>
        <v>0.24031246085698996</v>
      </c>
      <c r="L53" s="26">
        <f t="shared" si="14"/>
        <v>0.3587603413884438</v>
      </c>
    </row>
    <row r="54" spans="1:10" ht="11.25">
      <c r="A54" s="4" t="s">
        <v>47</v>
      </c>
      <c r="G54" s="16"/>
      <c r="H54" s="17"/>
      <c r="I54" s="17"/>
      <c r="J54" s="18"/>
    </row>
    <row r="55" spans="1:12" ht="11.25">
      <c r="A55" s="1" t="s">
        <v>48</v>
      </c>
      <c r="B55" s="17"/>
      <c r="C55" s="31">
        <f>C40/C28</f>
        <v>-0.0220671899962072</v>
      </c>
      <c r="D55" s="31">
        <f>(D40/0.75)/D28</f>
        <v>-0.015833993083045127</v>
      </c>
      <c r="E55" s="22">
        <f>(E40/0.5)/E28</f>
        <v>-0.017259135622713875</v>
      </c>
      <c r="F55" s="22">
        <f>((F40)/0.25)/F28</f>
        <v>-0.008184143222506393</v>
      </c>
      <c r="G55" s="32">
        <f>G40/G28</f>
        <v>-0.0858388664622534</v>
      </c>
      <c r="H55" s="31">
        <f>(H40/0.75)/H28</f>
        <v>-0.03497800625364354</v>
      </c>
      <c r="I55" s="31">
        <f>(I40/0.5)/I28</f>
        <v>-0.02687508895108876</v>
      </c>
      <c r="J55" s="25">
        <f>((J40)/0.25)/J28</f>
        <v>-0.018575723022701357</v>
      </c>
      <c r="K55" s="22">
        <f>K40/K28</f>
        <v>-0.011110161524656012</v>
      </c>
      <c r="L55" s="22">
        <f>L40/L28</f>
        <v>0.0007836204219127028</v>
      </c>
    </row>
    <row r="56" spans="1:12" ht="11.25">
      <c r="A56" s="1" t="s">
        <v>49</v>
      </c>
      <c r="B56" s="17"/>
      <c r="C56" s="31">
        <f>C40/C27</f>
        <v>-0.013640820154311778</v>
      </c>
      <c r="D56" s="31">
        <f>(D40/0.75)/D27</f>
        <v>-0.010183162944006003</v>
      </c>
      <c r="E56" s="22">
        <f>(E40/0.5)/E27</f>
        <v>-0.010990439900271935</v>
      </c>
      <c r="F56" s="22">
        <f>((F40)/0.25)/F27</f>
        <v>-0.005576269873759446</v>
      </c>
      <c r="G56" s="32">
        <f>G40/G27</f>
        <v>-0.062132429253442194</v>
      </c>
      <c r="H56" s="31">
        <f>(H40/0.75)/H27</f>
        <v>-0.02405960219635005</v>
      </c>
      <c r="I56" s="31">
        <f>(I40/0.5)/I27</f>
        <v>-0.0182207802128438</v>
      </c>
      <c r="J56" s="25">
        <f>((J40)/0.25)/J27</f>
        <v>-0.013453817070131024</v>
      </c>
      <c r="K56" s="22">
        <f>K40/K27</f>
        <v>-0.007310763693622765</v>
      </c>
      <c r="L56" s="22">
        <f>L40/L27</f>
        <v>0.0005396947104982139</v>
      </c>
    </row>
    <row r="57" spans="1:12" ht="11.25">
      <c r="A57" s="1" t="s">
        <v>50</v>
      </c>
      <c r="B57" s="17"/>
      <c r="C57" s="31">
        <f>+C40/C31</f>
        <v>-0.17779424020742662</v>
      </c>
      <c r="D57" s="31">
        <f>(D40/0.75)/D31</f>
        <v>-0.13825723121702746</v>
      </c>
      <c r="E57" s="22">
        <f>(E40/0.5)/E31</f>
        <v>-0.16297786720321933</v>
      </c>
      <c r="F57" s="22">
        <f>((F40)/0.25)/F31</f>
        <v>-0.07838258164852255</v>
      </c>
      <c r="G57" s="32">
        <f>+G40/G31</f>
        <v>-0.8617406067764081</v>
      </c>
      <c r="H57" s="31">
        <f>(H40/0.75)/H31</f>
        <v>-0.38795003673769285</v>
      </c>
      <c r="I57" s="31">
        <f>(I40/0.5)/I31</f>
        <v>-0.22181978366208213</v>
      </c>
      <c r="J57" s="25">
        <f>((J40)/0.25)/J31</f>
        <v>-0.20394227705194154</v>
      </c>
      <c r="K57" s="22">
        <f>K40/K31</f>
        <v>-0.10644519826880337</v>
      </c>
      <c r="L57" s="22">
        <f>L40/L31</f>
        <v>0.009004062808828374</v>
      </c>
    </row>
    <row r="58" spans="1:12" ht="11.25">
      <c r="A58" s="1" t="s">
        <v>51</v>
      </c>
      <c r="B58" s="17"/>
      <c r="C58" s="31">
        <f>C33/C28</f>
        <v>0.12286367763513281</v>
      </c>
      <c r="D58" s="31">
        <f>(D33/0.75)/D28</f>
        <v>0.12333847243635152</v>
      </c>
      <c r="E58" s="22">
        <f>(E33/0.5)/E28</f>
        <v>0.10721261408430698</v>
      </c>
      <c r="F58" s="22">
        <f>((F33)/0.25)/F28</f>
        <v>0.10392562822230342</v>
      </c>
      <c r="G58" s="32">
        <f>G33/G28</f>
        <v>0.13119214111868469</v>
      </c>
      <c r="H58" s="31">
        <f>(H33/0.75)/H28</f>
        <v>0.1237832776865052</v>
      </c>
      <c r="I58" s="31">
        <f>(I33/0.5)/I28</f>
        <v>0.11589733858342426</v>
      </c>
      <c r="J58" s="25">
        <f>((J33)/0.25)/J28</f>
        <v>0.08594588991396289</v>
      </c>
      <c r="K58" s="22">
        <f>K33/K28</f>
        <v>0.16302228950720532</v>
      </c>
      <c r="L58" s="22">
        <f>L33/L27</f>
        <v>0.09657244496512551</v>
      </c>
    </row>
    <row r="59" spans="1:12" ht="11.25">
      <c r="A59" s="1" t="s">
        <v>52</v>
      </c>
      <c r="B59" s="17"/>
      <c r="C59" s="31">
        <f>C34/C28</f>
        <v>0.1021527003574425</v>
      </c>
      <c r="D59" s="31">
        <f>(D34/0.75)/D28</f>
        <v>0.10022639832215231</v>
      </c>
      <c r="E59" s="22">
        <f>(E34/0.5)/E28</f>
        <v>0.09194218544692638</v>
      </c>
      <c r="F59" s="22">
        <f>((F34)/0.25)/F28</f>
        <v>0.08469938700117728</v>
      </c>
      <c r="G59" s="32">
        <f>G34/G28</f>
        <v>0.1109861101919867</v>
      </c>
      <c r="H59" s="31">
        <f>(H34/0.75)/H28</f>
        <v>0.10392707615665907</v>
      </c>
      <c r="I59" s="31">
        <f>(I34/0.5)/I28</f>
        <v>0.0975852744437592</v>
      </c>
      <c r="J59" s="25">
        <f>((J34)/0.25)/J28</f>
        <v>0.07257800352441174</v>
      </c>
      <c r="K59" s="22">
        <f>K34/K28</f>
        <v>0.1399473386483044</v>
      </c>
      <c r="L59" s="22">
        <f>L34/L27</f>
        <v>0.06601716821527237</v>
      </c>
    </row>
    <row r="60" spans="1:12" ht="11.25">
      <c r="A60" s="1" t="s">
        <v>53</v>
      </c>
      <c r="B60" s="17"/>
      <c r="C60" s="31">
        <f>C35/C28</f>
        <v>0.0207109772776903</v>
      </c>
      <c r="D60" s="31">
        <f>(D35/0.75)/D28</f>
        <v>0.023112074114199202</v>
      </c>
      <c r="E60" s="22">
        <f>(E35/0.5)/E28</f>
        <v>0.015270428637380588</v>
      </c>
      <c r="F60" s="22">
        <f>((F35)/0.25)/F28</f>
        <v>0.019226241221126133</v>
      </c>
      <c r="G60" s="32">
        <f>G35/G28</f>
        <v>0.02020603092669799</v>
      </c>
      <c r="H60" s="31">
        <f>(H35/0.75)/H28</f>
        <v>0.019856201529846133</v>
      </c>
      <c r="I60" s="31">
        <f>(I35/0.5)/I28</f>
        <v>0.01831206413966507</v>
      </c>
      <c r="J60" s="25">
        <f>((J35)/0.25)/J28</f>
        <v>0.013367886389551156</v>
      </c>
      <c r="K60" s="22">
        <f>K35/K28</f>
        <v>0.023074950858900947</v>
      </c>
      <c r="L60" s="22">
        <f>L35/L27</f>
        <v>0.030555276749853148</v>
      </c>
    </row>
    <row r="61" spans="1:12" ht="11.25">
      <c r="A61" s="1" t="s">
        <v>54</v>
      </c>
      <c r="B61" s="17"/>
      <c r="C61" s="31">
        <f>C38/C37</f>
        <v>1.7966804979253113</v>
      </c>
      <c r="D61" s="31">
        <f>(D38/0.75)/(D37/0.75)</f>
        <v>1.5621301775147929</v>
      </c>
      <c r="E61" s="22">
        <f>(E38/0.5)/(E37/0.5)</f>
        <v>1.845217391304348</v>
      </c>
      <c r="F61" s="22">
        <f>(F38/0.25)/(F37/0.25)</f>
        <v>1.3134328358208955</v>
      </c>
      <c r="G61" s="32">
        <f>G38/G37</f>
        <v>2.297940797940798</v>
      </c>
      <c r="H61" s="31">
        <f>(H38/0.75)/(H37/0.75)</f>
        <v>2.342084327764519</v>
      </c>
      <c r="I61" s="31">
        <f>(I38/0.5)/(I37/0.5)</f>
        <v>2.309826589595376</v>
      </c>
      <c r="J61" s="25">
        <f>(J38/0.25)/(J37/0.25)</f>
        <v>2.2641083521444694</v>
      </c>
      <c r="K61" s="22">
        <f>K38/K37</f>
        <v>1.094662638469285</v>
      </c>
      <c r="L61" s="22">
        <f>L38/L37</f>
        <v>0.3525156830111381</v>
      </c>
    </row>
    <row r="62" spans="1:12" ht="11.25">
      <c r="A62" s="2" t="s">
        <v>55</v>
      </c>
      <c r="B62" s="2"/>
      <c r="C62" s="33">
        <f>C36/C28</f>
        <v>0.006987943498798947</v>
      </c>
      <c r="D62" s="33">
        <f>(D36/0.75)/D28</f>
        <v>0.005055766212481075</v>
      </c>
      <c r="E62" s="26">
        <f>(E36/0.5)/E28</f>
        <v>0.005149330587023687</v>
      </c>
      <c r="F62" s="26">
        <f>(F36/0.25)/F28</f>
        <v>0.0068850728697276015</v>
      </c>
      <c r="G62" s="34">
        <f>G36/G28</f>
        <v>0.002647078287340348</v>
      </c>
      <c r="H62" s="33">
        <f>(H36/0.75)/H28</f>
        <v>0.0023495327433002986</v>
      </c>
      <c r="I62" s="33">
        <f>(I36/0.5)/I28</f>
        <v>0.0022059870012808955</v>
      </c>
      <c r="J62" s="28">
        <f>(J36/0.25)/J28</f>
        <v>0.0013268373587643828</v>
      </c>
      <c r="K62" s="26">
        <f>K36/K28</f>
        <v>0.017336735565946743</v>
      </c>
      <c r="L62" s="26">
        <f>L36/L27</f>
        <v>0.020853935246507204</v>
      </c>
    </row>
    <row r="63" spans="1:10" ht="11.25">
      <c r="A63" s="4" t="s">
        <v>56</v>
      </c>
      <c r="G63" s="16"/>
      <c r="H63" s="17"/>
      <c r="I63" s="17"/>
      <c r="J63" s="18"/>
    </row>
    <row r="64" spans="1:12" ht="11.25">
      <c r="A64" s="1" t="s">
        <v>57</v>
      </c>
      <c r="C64" s="9">
        <v>18</v>
      </c>
      <c r="D64" s="9">
        <v>18</v>
      </c>
      <c r="E64" s="9">
        <v>19</v>
      </c>
      <c r="F64" s="1">
        <v>20</v>
      </c>
      <c r="G64" s="10">
        <v>21</v>
      </c>
      <c r="H64" s="11">
        <v>22</v>
      </c>
      <c r="I64" s="11">
        <v>23</v>
      </c>
      <c r="J64" s="12">
        <v>29</v>
      </c>
      <c r="K64" s="9">
        <v>30</v>
      </c>
      <c r="L64" s="9">
        <v>49</v>
      </c>
    </row>
    <row r="65" spans="1:12" ht="11.25">
      <c r="A65" s="1" t="s">
        <v>58</v>
      </c>
      <c r="C65" s="9">
        <v>1</v>
      </c>
      <c r="D65" s="9">
        <v>1</v>
      </c>
      <c r="E65" s="9">
        <v>1</v>
      </c>
      <c r="F65" s="1">
        <v>1</v>
      </c>
      <c r="G65" s="10">
        <v>1</v>
      </c>
      <c r="H65" s="11">
        <v>1</v>
      </c>
      <c r="I65" s="11">
        <v>1</v>
      </c>
      <c r="J65" s="12">
        <v>1</v>
      </c>
      <c r="K65" s="9">
        <v>1</v>
      </c>
      <c r="L65" s="9">
        <v>1</v>
      </c>
    </row>
    <row r="66" spans="1:12" ht="11.25">
      <c r="A66" s="1" t="s">
        <v>59</v>
      </c>
      <c r="C66" s="9">
        <f aca="true" t="shared" si="15" ref="C66:L66">C13/C64</f>
        <v>1426</v>
      </c>
      <c r="D66" s="9">
        <f t="shared" si="15"/>
        <v>1943.2777777777778</v>
      </c>
      <c r="E66" s="9">
        <f t="shared" si="15"/>
        <v>2762.5789473684213</v>
      </c>
      <c r="F66" s="9">
        <f t="shared" si="15"/>
        <v>2807.5</v>
      </c>
      <c r="G66" s="10">
        <f t="shared" si="15"/>
        <v>2911.3333333333335</v>
      </c>
      <c r="H66" s="11">
        <f t="shared" si="15"/>
        <v>2760.2727272727275</v>
      </c>
      <c r="I66" s="11">
        <f t="shared" si="15"/>
        <v>2602.4347826086955</v>
      </c>
      <c r="J66" s="12">
        <f t="shared" si="15"/>
        <v>2298.1724137931033</v>
      </c>
      <c r="K66" s="9">
        <f t="shared" si="15"/>
        <v>2480.0666666666666</v>
      </c>
      <c r="L66" s="9">
        <f t="shared" si="15"/>
        <v>3413.285714285714</v>
      </c>
    </row>
    <row r="67" spans="1:12" ht="11.25">
      <c r="A67" s="1" t="s">
        <v>60</v>
      </c>
      <c r="C67" s="9">
        <f aca="true" t="shared" si="16" ref="C67:L67">+C17/C64</f>
        <v>2246.1666666666665</v>
      </c>
      <c r="D67" s="9">
        <f t="shared" si="16"/>
        <v>2591.3888888888887</v>
      </c>
      <c r="E67" s="9">
        <f t="shared" si="16"/>
        <v>3760.3684210526317</v>
      </c>
      <c r="F67" s="9">
        <f t="shared" si="16"/>
        <v>3253.6</v>
      </c>
      <c r="G67" s="10">
        <f t="shared" si="16"/>
        <v>3091.1428571428573</v>
      </c>
      <c r="H67" s="11">
        <f t="shared" si="16"/>
        <v>3222.5</v>
      </c>
      <c r="I67" s="11">
        <f t="shared" si="16"/>
        <v>3135.913043478261</v>
      </c>
      <c r="J67" s="12">
        <f t="shared" si="16"/>
        <v>2818.4827586206898</v>
      </c>
      <c r="K67" s="9">
        <f t="shared" si="16"/>
        <v>2927.3</v>
      </c>
      <c r="L67" s="9">
        <f t="shared" si="16"/>
        <v>4992.816326530612</v>
      </c>
    </row>
    <row r="68" spans="1:12" ht="11.25">
      <c r="A68" s="2" t="s">
        <v>61</v>
      </c>
      <c r="B68" s="2"/>
      <c r="C68" s="13">
        <f aca="true" t="shared" si="17" ref="C68:L68">+C40/C64</f>
        <v>-53.333333333333336</v>
      </c>
      <c r="D68" s="13">
        <f t="shared" si="17"/>
        <v>-31.666666666666668</v>
      </c>
      <c r="E68" s="13">
        <f t="shared" si="17"/>
        <v>-25.57894736842105</v>
      </c>
      <c r="F68" s="13">
        <f t="shared" si="17"/>
        <v>-6.3</v>
      </c>
      <c r="G68" s="14">
        <f t="shared" si="17"/>
        <v>-277.95238095238096</v>
      </c>
      <c r="H68" s="13">
        <f t="shared" si="17"/>
        <v>-90</v>
      </c>
      <c r="I68" s="13">
        <f t="shared" si="17"/>
        <v>-49.26086956521739</v>
      </c>
      <c r="J68" s="15">
        <f t="shared" si="17"/>
        <v>-19.310344827586206</v>
      </c>
      <c r="K68" s="13">
        <f t="shared" si="17"/>
        <v>-45.5</v>
      </c>
      <c r="L68" s="13">
        <f t="shared" si="17"/>
        <v>3.3469387755102042</v>
      </c>
    </row>
    <row r="69" spans="1:10" ht="11.25">
      <c r="A69" s="4" t="s">
        <v>62</v>
      </c>
      <c r="G69" s="16"/>
      <c r="H69" s="17"/>
      <c r="I69" s="17"/>
      <c r="J69" s="18"/>
    </row>
    <row r="70" spans="1:12" ht="11.25">
      <c r="A70" s="1" t="s">
        <v>63</v>
      </c>
      <c r="C70" s="22">
        <f>(C11/G11)-1</f>
        <v>-0.31270678494365856</v>
      </c>
      <c r="D70" s="22">
        <f>(D11/H11)-1</f>
        <v>-0.2625507792948516</v>
      </c>
      <c r="E70" s="22">
        <f>(E11/I11)-1</f>
        <v>0.020111923252626784</v>
      </c>
      <c r="F70" s="22">
        <f>+(F11/J11)-1</f>
        <v>-0.14566642388929352</v>
      </c>
      <c r="G70" s="24">
        <f>+(G11/K11)-1</f>
        <v>-0.20148560817084493</v>
      </c>
      <c r="H70" s="23">
        <f>+(H11/133544)-1</f>
        <v>-0.35668393937578624</v>
      </c>
      <c r="I70" s="23">
        <f>+(I11/161167)-1</f>
        <v>-0.4567126024558378</v>
      </c>
      <c r="J70" s="25">
        <f>+(J11/235508)-1</f>
        <v>-0.5860735091801552</v>
      </c>
      <c r="K70" s="22">
        <f>+(K11/L11)-1</f>
        <v>-0.6115715385216005</v>
      </c>
      <c r="L70" s="22">
        <f>(L11/338798)-1</f>
        <v>-0.20615529017290535</v>
      </c>
    </row>
    <row r="71" spans="1:12" ht="11.25">
      <c r="A71" s="1" t="s">
        <v>64</v>
      </c>
      <c r="C71" s="22">
        <f>(C13/G13)-1</f>
        <v>-0.5801629101377213</v>
      </c>
      <c r="D71" s="22">
        <f>(D13/H13)-1</f>
        <v>-0.4239864308533412</v>
      </c>
      <c r="E71" s="22">
        <f>(E13/I13)-1</f>
        <v>-0.12307872226677363</v>
      </c>
      <c r="F71" s="22">
        <f aca="true" t="shared" si="18" ref="F71:L71">SUM(F72:F73)</f>
        <v>-0.15750146293156486</v>
      </c>
      <c r="G71" s="24">
        <f t="shared" si="18"/>
        <v>-0.17827477755974297</v>
      </c>
      <c r="H71" s="23">
        <f t="shared" si="18"/>
        <v>-0.32205017136860437</v>
      </c>
      <c r="I71" s="23">
        <f t="shared" si="18"/>
        <v>-0.44640825726256206</v>
      </c>
      <c r="J71" s="25">
        <f t="shared" si="18"/>
        <v>-0.6091314292416867</v>
      </c>
      <c r="K71" s="22">
        <f t="shared" si="18"/>
        <v>-0.5551476523309278</v>
      </c>
      <c r="L71" s="22">
        <f t="shared" si="18"/>
        <v>-0.1739426776444789</v>
      </c>
    </row>
    <row r="72" spans="2:12" ht="11.25">
      <c r="B72" s="1" t="s">
        <v>15</v>
      </c>
      <c r="C72" s="22">
        <v>0</v>
      </c>
      <c r="D72" s="22">
        <v>0</v>
      </c>
      <c r="E72" s="22">
        <v>0</v>
      </c>
      <c r="F72" s="22">
        <v>0</v>
      </c>
      <c r="G72" s="24">
        <v>0</v>
      </c>
      <c r="H72" s="23">
        <v>0</v>
      </c>
      <c r="I72" s="23">
        <v>0</v>
      </c>
      <c r="J72" s="25">
        <v>0</v>
      </c>
      <c r="K72" s="22">
        <v>0</v>
      </c>
      <c r="L72" s="22">
        <v>0</v>
      </c>
    </row>
    <row r="73" spans="2:12" ht="11.25">
      <c r="B73" s="1" t="s">
        <v>16</v>
      </c>
      <c r="C73" s="22">
        <f>(C15/G15)-1</f>
        <v>-0.5801629101377213</v>
      </c>
      <c r="D73" s="22">
        <f>(D15/H15)-1</f>
        <v>-0.4239864308533412</v>
      </c>
      <c r="E73" s="22">
        <f>(E15/I15)-1</f>
        <v>-0.12307872226677363</v>
      </c>
      <c r="F73" s="22">
        <f>+(F15/J15)-1</f>
        <v>-0.15750146293156486</v>
      </c>
      <c r="G73" s="24">
        <f>+(G15/K15)-1</f>
        <v>-0.17827477755974297</v>
      </c>
      <c r="H73" s="23">
        <f>+(H15/89573)-1</f>
        <v>-0.32205017136860437</v>
      </c>
      <c r="I73" s="23">
        <f>+(I15/108123)-1</f>
        <v>-0.44640825726256206</v>
      </c>
      <c r="J73" s="25">
        <f>+(J15/170510)-1</f>
        <v>-0.6091314292416867</v>
      </c>
      <c r="K73" s="22">
        <f>+(K15/L15)-1</f>
        <v>-0.5551476523309278</v>
      </c>
      <c r="L73" s="22">
        <f>+(L15/202469)-1</f>
        <v>-0.1739426776444789</v>
      </c>
    </row>
    <row r="74" spans="1:12" ht="11.25">
      <c r="A74" s="1" t="s">
        <v>65</v>
      </c>
      <c r="C74" s="22">
        <f>(C17/G17)-1</f>
        <v>-0.3771605508827064</v>
      </c>
      <c r="D74" s="22">
        <f>(D17/H17)-1</f>
        <v>-0.34205515198533043</v>
      </c>
      <c r="E74" s="22">
        <f>(E17/I17)-1</f>
        <v>-0.009414080913956124</v>
      </c>
      <c r="F74" s="22">
        <f aca="true" t="shared" si="19" ref="F74:L74">SUM(F75:F76)</f>
        <v>-0.20387589311931098</v>
      </c>
      <c r="G74" s="24">
        <f t="shared" si="19"/>
        <v>-0.26082055136132276</v>
      </c>
      <c r="H74" s="23">
        <f t="shared" si="19"/>
        <v>-0.3805700206199979</v>
      </c>
      <c r="I74" s="23">
        <f t="shared" si="19"/>
        <v>-0.4876286682437184</v>
      </c>
      <c r="J74" s="25">
        <f t="shared" si="19"/>
        <v>-0.6172781120501956</v>
      </c>
      <c r="K74" s="22">
        <f t="shared" si="19"/>
        <v>-0.6408925855046862</v>
      </c>
      <c r="L74" s="22">
        <f t="shared" si="19"/>
        <v>-1.1150720014732038</v>
      </c>
    </row>
    <row r="75" spans="2:12" ht="11.25">
      <c r="B75" s="1" t="s">
        <v>15</v>
      </c>
      <c r="C75" s="22">
        <v>0</v>
      </c>
      <c r="D75" s="22">
        <v>0</v>
      </c>
      <c r="E75" s="22">
        <v>0</v>
      </c>
      <c r="F75" s="22">
        <v>0</v>
      </c>
      <c r="G75" s="24">
        <v>0</v>
      </c>
      <c r="H75" s="23">
        <v>0</v>
      </c>
      <c r="I75" s="23">
        <v>0</v>
      </c>
      <c r="J75" s="25">
        <v>0</v>
      </c>
      <c r="K75" s="22">
        <v>0</v>
      </c>
      <c r="L75" s="22">
        <f>+(L18/1134)-1</f>
        <v>-0.9118165784832452</v>
      </c>
    </row>
    <row r="76" spans="2:12" ht="11.25">
      <c r="B76" s="1" t="s">
        <v>16</v>
      </c>
      <c r="C76" s="22">
        <f>(C22/G22)-1</f>
        <v>-0.3771605508827064</v>
      </c>
      <c r="D76" s="22">
        <f>(D22/H22)-1</f>
        <v>-0.34205515198533043</v>
      </c>
      <c r="E76" s="22">
        <f>(E22/I22)-1</f>
        <v>-0.009414080913956124</v>
      </c>
      <c r="F76" s="22">
        <f>+(F22/J22)-1</f>
        <v>-0.20387589311931098</v>
      </c>
      <c r="G76" s="24">
        <f>+(G22/K22)-1</f>
        <v>-0.26082055136132276</v>
      </c>
      <c r="H76" s="23">
        <f>+(H22/114452)-1</f>
        <v>-0.3805700206199979</v>
      </c>
      <c r="I76" s="23">
        <f>+(I22/140769)-1</f>
        <v>-0.4876286682437184</v>
      </c>
      <c r="J76" s="25">
        <f>+(J22/213565)-1</f>
        <v>-0.6172781120501956</v>
      </c>
      <c r="K76" s="22">
        <f>+(K22/L22)-1</f>
        <v>-0.6408925855046862</v>
      </c>
      <c r="L76" s="22">
        <f>+(L22/306934)-1</f>
        <v>-0.2032554229899588</v>
      </c>
    </row>
    <row r="77" spans="1:12" ht="11.25">
      <c r="A77" s="1" t="s">
        <v>66</v>
      </c>
      <c r="C77" s="22">
        <f>(C25/G25)-1</f>
        <v>-0.16624214637459667</v>
      </c>
      <c r="D77" s="22">
        <f>(D25/H25)-1</f>
        <v>-0.06307258632840029</v>
      </c>
      <c r="E77" s="22">
        <f>(E25/I25)-1</f>
        <v>-0.1719540229885057</v>
      </c>
      <c r="F77" s="23">
        <f>+(F25/J25)-1</f>
        <v>-0.18796674651261092</v>
      </c>
      <c r="G77" s="24">
        <f>+(G25/K25)-1</f>
        <v>-0.231000261164795</v>
      </c>
      <c r="H77" s="23">
        <f>+(H25/7934)-1</f>
        <v>-0.28459793294681124</v>
      </c>
      <c r="I77" s="23">
        <f>+(I25/13906)-1</f>
        <v>-0.5307780814037106</v>
      </c>
      <c r="J77" s="25">
        <f>+(J25/14870)-1</f>
        <v>-0.5227303295225285</v>
      </c>
      <c r="K77" s="23">
        <f>+(K25/L25)-1</f>
        <v>-0.5742954027461227</v>
      </c>
      <c r="L77" s="23">
        <f>(L25/18439)-1</f>
        <v>-0.024404794186235645</v>
      </c>
    </row>
    <row r="78" spans="1:12" ht="11.25">
      <c r="A78" s="2" t="s">
        <v>67</v>
      </c>
      <c r="B78" s="2"/>
      <c r="C78" s="26">
        <f>(C40/G40)-1</f>
        <v>-0.8355319513448689</v>
      </c>
      <c r="D78" s="26">
        <f>(D40/H40)-1</f>
        <v>-0.7121212121212122</v>
      </c>
      <c r="E78" s="26">
        <f>(E40/I40)-1</f>
        <v>-0.5710503089143866</v>
      </c>
      <c r="F78" s="26">
        <f>+(F40/J40)-1</f>
        <v>-0.775</v>
      </c>
      <c r="G78" s="27">
        <f>+(G40/K40)-1</f>
        <v>3.276190476190476</v>
      </c>
      <c r="H78" s="26">
        <f>+(H40/906)-1</f>
        <v>-3.185430463576159</v>
      </c>
      <c r="I78" s="26">
        <f>+(I40/82)-1</f>
        <v>-14.817073170731707</v>
      </c>
      <c r="J78" s="28">
        <f>+(J40/882)-1</f>
        <v>-1.6349206349206349</v>
      </c>
      <c r="K78" s="26">
        <f>+(K40/L40)-1</f>
        <v>-9.323170731707316</v>
      </c>
      <c r="L78" s="26">
        <f>+(L40/1257)-1</f>
        <v>-0.8695306284805091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8151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2002-03-19T16:44:53Z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