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iscount" sheetId="1" r:id="rId1"/>
  </sheets>
  <definedNames>
    <definedName name="_xlnm.Print_Area" localSheetId="0">'Discount'!$A:$IV</definedName>
  </definedNames>
  <calcPr fullCalcOnLoad="1"/>
</workbook>
</file>

<file path=xl/sharedStrings.xml><?xml version="1.0" encoding="utf-8"?>
<sst xmlns="http://schemas.openxmlformats.org/spreadsheetml/2006/main" count="84" uniqueCount="68">
  <si>
    <t>CUADRO No. 19-11</t>
  </si>
  <si>
    <t>DISCOUNT BANK AND TRUST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</si>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</sst>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0" xfId="15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2" fontId="2" fillId="0" borderId="0" xfId="19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82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6" sqref="D6"/>
    </sheetView>
  </sheetViews>
  <sheetFormatPr defaultColWidth="11.421875" defaultRowHeight="12.75"/>
  <cols>
    <col min="1" max="1" width="1.8515625" style="1" customWidth="1"/>
    <col min="2" max="2" width="40.8515625" style="1" customWidth="1"/>
    <col min="3" max="3" width="8.7109375" style="1" customWidth="1"/>
    <col min="4" max="4" width="9.57421875" style="1" customWidth="1"/>
    <col min="5" max="6" width="6.8515625" style="1" bestFit="1" customWidth="1"/>
    <col min="7" max="7" width="8.7109375" style="1" customWidth="1"/>
    <col min="8" max="8" width="10.140625" style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39"/>
      <c r="C2" s="39"/>
      <c r="D2" s="39"/>
      <c r="E2" s="39"/>
      <c r="F2" s="39" t="s">
        <v>0</v>
      </c>
      <c r="H2" s="39"/>
      <c r="I2" s="39"/>
      <c r="J2" s="39"/>
      <c r="K2" s="39"/>
      <c r="L2" s="39"/>
    </row>
    <row r="3" spans="2:12" ht="11.25">
      <c r="B3" s="39"/>
      <c r="C3" s="39"/>
      <c r="D3" s="39"/>
      <c r="E3" s="39"/>
      <c r="F3" s="39" t="s">
        <v>1</v>
      </c>
      <c r="H3" s="39"/>
      <c r="I3" s="39"/>
      <c r="J3" s="39"/>
      <c r="K3" s="39"/>
      <c r="L3" s="39"/>
    </row>
    <row r="4" spans="2:12" ht="11.25">
      <c r="B4" s="39"/>
      <c r="C4" s="39"/>
      <c r="D4" s="39"/>
      <c r="E4" s="39"/>
      <c r="F4" s="39" t="s">
        <v>2</v>
      </c>
      <c r="H4" s="39"/>
      <c r="I4" s="39"/>
      <c r="J4" s="39"/>
      <c r="K4" s="39"/>
      <c r="L4" s="39"/>
    </row>
    <row r="5" spans="2:12" ht="11.25">
      <c r="B5" s="38"/>
      <c r="C5" s="38"/>
      <c r="D5" s="38"/>
      <c r="E5" s="38"/>
      <c r="F5" s="38" t="s">
        <v>3</v>
      </c>
      <c r="H5" s="38"/>
      <c r="I5" s="38"/>
      <c r="J5" s="38"/>
      <c r="K5" s="38"/>
      <c r="L5" s="38"/>
    </row>
    <row r="6" spans="1:12" ht="11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6">
        <v>2001</v>
      </c>
      <c r="D8" s="46"/>
      <c r="E8" s="46"/>
      <c r="F8" s="47"/>
      <c r="G8" s="45">
        <v>2000</v>
      </c>
      <c r="H8" s="46"/>
      <c r="I8" s="46"/>
      <c r="J8" s="47"/>
      <c r="K8" s="46" t="s">
        <v>4</v>
      </c>
      <c r="L8" s="46"/>
    </row>
    <row r="9" spans="1:12" s="4" customFormat="1" ht="11.25">
      <c r="A9" s="40"/>
      <c r="B9" s="40"/>
      <c r="C9" s="41" t="s">
        <v>5</v>
      </c>
      <c r="D9" s="41" t="s">
        <v>6</v>
      </c>
      <c r="E9" s="40" t="s">
        <v>7</v>
      </c>
      <c r="F9" s="40" t="s">
        <v>8</v>
      </c>
      <c r="G9" s="42" t="s">
        <v>5</v>
      </c>
      <c r="H9" s="41" t="s">
        <v>6</v>
      </c>
      <c r="I9" s="41" t="s">
        <v>7</v>
      </c>
      <c r="J9" s="43" t="s">
        <v>8</v>
      </c>
      <c r="K9" s="44" t="s">
        <v>9</v>
      </c>
      <c r="L9" s="44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82770</v>
      </c>
      <c r="D11" s="9">
        <v>83618</v>
      </c>
      <c r="E11" s="9">
        <v>83038</v>
      </c>
      <c r="F11" s="10">
        <v>86898</v>
      </c>
      <c r="G11" s="11">
        <v>94916</v>
      </c>
      <c r="H11" s="12">
        <v>99006</v>
      </c>
      <c r="I11" s="12">
        <v>102569</v>
      </c>
      <c r="J11" s="13">
        <v>106734</v>
      </c>
      <c r="K11" s="9">
        <v>129936</v>
      </c>
      <c r="L11" s="9">
        <v>148359</v>
      </c>
    </row>
    <row r="12" spans="1:12" ht="11.25">
      <c r="A12" s="1" t="s">
        <v>13</v>
      </c>
      <c r="C12" s="9">
        <v>39992</v>
      </c>
      <c r="D12" s="9">
        <v>43415</v>
      </c>
      <c r="E12" s="9">
        <v>42413</v>
      </c>
      <c r="F12" s="9">
        <v>45216</v>
      </c>
      <c r="G12" s="11">
        <v>51153</v>
      </c>
      <c r="H12" s="12">
        <v>53994</v>
      </c>
      <c r="I12" s="12">
        <v>56628</v>
      </c>
      <c r="J12" s="13">
        <v>55658</v>
      </c>
      <c r="K12" s="9">
        <v>58105</v>
      </c>
      <c r="L12" s="9">
        <v>69889</v>
      </c>
    </row>
    <row r="13" spans="1:12" ht="11.25">
      <c r="A13" s="1" t="s">
        <v>14</v>
      </c>
      <c r="C13" s="9">
        <f aca="true" t="shared" si="0" ref="C13:L13">C14+C15</f>
        <v>26735</v>
      </c>
      <c r="D13" s="9">
        <f t="shared" si="0"/>
        <v>27593</v>
      </c>
      <c r="E13" s="9">
        <f t="shared" si="0"/>
        <v>29633</v>
      </c>
      <c r="F13" s="9">
        <f t="shared" si="0"/>
        <v>30599</v>
      </c>
      <c r="G13" s="11">
        <f t="shared" si="0"/>
        <v>34345</v>
      </c>
      <c r="H13" s="12">
        <f t="shared" si="0"/>
        <v>34200</v>
      </c>
      <c r="I13" s="12">
        <f t="shared" si="0"/>
        <v>35385</v>
      </c>
      <c r="J13" s="13">
        <f t="shared" si="0"/>
        <v>38499</v>
      </c>
      <c r="K13" s="9">
        <f t="shared" si="0"/>
        <v>57743</v>
      </c>
      <c r="L13" s="9">
        <f t="shared" si="0"/>
        <v>65121</v>
      </c>
    </row>
    <row r="14" spans="2:12" ht="11.25">
      <c r="B14" s="1" t="s">
        <v>15</v>
      </c>
      <c r="C14" s="9">
        <v>0</v>
      </c>
      <c r="D14" s="9">
        <v>0</v>
      </c>
      <c r="E14" s="9">
        <v>0</v>
      </c>
      <c r="F14" s="9">
        <v>0</v>
      </c>
      <c r="G14" s="11">
        <v>0</v>
      </c>
      <c r="H14" s="12">
        <v>0</v>
      </c>
      <c r="I14" s="12">
        <v>0</v>
      </c>
      <c r="J14" s="13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26735</v>
      </c>
      <c r="D15" s="9">
        <v>27593</v>
      </c>
      <c r="E15" s="9">
        <v>29633</v>
      </c>
      <c r="F15" s="9">
        <v>30599</v>
      </c>
      <c r="G15" s="11">
        <v>34345</v>
      </c>
      <c r="H15" s="12">
        <v>34200</v>
      </c>
      <c r="I15" s="12">
        <v>35385</v>
      </c>
      <c r="J15" s="13">
        <v>38499</v>
      </c>
      <c r="K15" s="9">
        <v>57743</v>
      </c>
      <c r="L15" s="9">
        <v>65121</v>
      </c>
    </row>
    <row r="16" spans="1:12" ht="11.25">
      <c r="A16" s="1" t="s">
        <v>17</v>
      </c>
      <c r="C16" s="9">
        <v>15320</v>
      </c>
      <c r="D16" s="9">
        <v>11878</v>
      </c>
      <c r="E16" s="9">
        <v>10219</v>
      </c>
      <c r="F16" s="9">
        <v>10113</v>
      </c>
      <c r="G16" s="11">
        <v>8443</v>
      </c>
      <c r="H16" s="12">
        <v>9483</v>
      </c>
      <c r="I16" s="12">
        <v>9496</v>
      </c>
      <c r="J16" s="13">
        <v>9062</v>
      </c>
      <c r="K16" s="9">
        <v>11014</v>
      </c>
      <c r="L16" s="9">
        <v>11945</v>
      </c>
    </row>
    <row r="17" spans="1:12" ht="11.25">
      <c r="A17" s="1" t="s">
        <v>18</v>
      </c>
      <c r="C17" s="9">
        <f aca="true" t="shared" si="1" ref="C17:L17">C18+C22</f>
        <v>74426</v>
      </c>
      <c r="D17" s="9">
        <f t="shared" si="1"/>
        <v>74382</v>
      </c>
      <c r="E17" s="9">
        <f t="shared" si="1"/>
        <v>75484</v>
      </c>
      <c r="F17" s="9">
        <f t="shared" si="1"/>
        <v>81467</v>
      </c>
      <c r="G17" s="11">
        <f t="shared" si="1"/>
        <v>87593</v>
      </c>
      <c r="H17" s="12">
        <f t="shared" si="1"/>
        <v>92070</v>
      </c>
      <c r="I17" s="12">
        <f t="shared" si="1"/>
        <v>95385</v>
      </c>
      <c r="J17" s="13">
        <f t="shared" si="1"/>
        <v>98478</v>
      </c>
      <c r="K17" s="9">
        <f t="shared" si="1"/>
        <v>122512</v>
      </c>
      <c r="L17" s="9">
        <f t="shared" si="1"/>
        <v>141596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1">
        <f t="shared" si="2"/>
        <v>0</v>
      </c>
      <c r="H18" s="12">
        <f t="shared" si="2"/>
        <v>0</v>
      </c>
      <c r="I18" s="12">
        <f t="shared" si="2"/>
        <v>0</v>
      </c>
      <c r="J18" s="13">
        <f t="shared" si="2"/>
        <v>0</v>
      </c>
      <c r="K18" s="9">
        <f t="shared" si="2"/>
        <v>0</v>
      </c>
      <c r="L18" s="9">
        <f t="shared" si="2"/>
        <v>0</v>
      </c>
    </row>
    <row r="19" spans="2:12" ht="11.25">
      <c r="B19" s="1" t="s">
        <v>19</v>
      </c>
      <c r="D19" s="9">
        <v>0</v>
      </c>
      <c r="E19" s="9">
        <v>0</v>
      </c>
      <c r="F19" s="9">
        <v>0</v>
      </c>
      <c r="G19" s="11">
        <v>0</v>
      </c>
      <c r="H19" s="12">
        <v>0</v>
      </c>
      <c r="I19" s="12">
        <v>0</v>
      </c>
      <c r="J19" s="13">
        <v>0</v>
      </c>
      <c r="K19" s="9">
        <v>0</v>
      </c>
      <c r="L19" s="9">
        <v>0</v>
      </c>
    </row>
    <row r="20" spans="2:12" ht="11.25">
      <c r="B20" s="1" t="s">
        <v>20</v>
      </c>
      <c r="D20" s="9">
        <v>0</v>
      </c>
      <c r="E20" s="9">
        <v>0</v>
      </c>
      <c r="F20" s="9">
        <v>0</v>
      </c>
      <c r="G20" s="11">
        <v>0</v>
      </c>
      <c r="H20" s="12">
        <v>0</v>
      </c>
      <c r="I20" s="12">
        <v>0</v>
      </c>
      <c r="J20" s="13">
        <v>0</v>
      </c>
      <c r="K20" s="9">
        <v>0</v>
      </c>
      <c r="L20" s="9">
        <v>0</v>
      </c>
    </row>
    <row r="21" spans="2:12" ht="11.25">
      <c r="B21" s="1" t="s">
        <v>21</v>
      </c>
      <c r="D21" s="9">
        <v>0</v>
      </c>
      <c r="E21" s="9">
        <v>0</v>
      </c>
      <c r="F21" s="9">
        <v>0</v>
      </c>
      <c r="G21" s="11">
        <v>0</v>
      </c>
      <c r="H21" s="12">
        <v>0</v>
      </c>
      <c r="I21" s="12">
        <v>0</v>
      </c>
      <c r="J21" s="13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74426</v>
      </c>
      <c r="D22" s="9">
        <f t="shared" si="3"/>
        <v>74382</v>
      </c>
      <c r="E22" s="9">
        <f t="shared" si="3"/>
        <v>75484</v>
      </c>
      <c r="F22" s="9">
        <f t="shared" si="3"/>
        <v>81467</v>
      </c>
      <c r="G22" s="11">
        <f t="shared" si="3"/>
        <v>87593</v>
      </c>
      <c r="H22" s="12">
        <f t="shared" si="3"/>
        <v>92070</v>
      </c>
      <c r="I22" s="12">
        <f t="shared" si="3"/>
        <v>95385</v>
      </c>
      <c r="J22" s="13">
        <f t="shared" si="3"/>
        <v>98478</v>
      </c>
      <c r="K22" s="9">
        <f t="shared" si="3"/>
        <v>122512</v>
      </c>
      <c r="L22" s="9">
        <f t="shared" si="3"/>
        <v>141596</v>
      </c>
    </row>
    <row r="23" spans="2:12" ht="11.25">
      <c r="B23" s="1" t="s">
        <v>20</v>
      </c>
      <c r="C23" s="9">
        <f>1018+55551</f>
        <v>56569</v>
      </c>
      <c r="D23" s="9">
        <f>61446+553</f>
        <v>61999</v>
      </c>
      <c r="E23" s="9">
        <v>64373</v>
      </c>
      <c r="F23" s="9">
        <v>69906</v>
      </c>
      <c r="G23" s="11">
        <f>606+74792</f>
        <v>75398</v>
      </c>
      <c r="H23" s="12">
        <v>80576</v>
      </c>
      <c r="I23" s="12">
        <v>83153</v>
      </c>
      <c r="J23" s="13">
        <v>86502</v>
      </c>
      <c r="K23" s="9">
        <v>110012</v>
      </c>
      <c r="L23" s="9">
        <v>127156</v>
      </c>
    </row>
    <row r="24" spans="2:12" ht="11.25">
      <c r="B24" s="1" t="s">
        <v>21</v>
      </c>
      <c r="C24" s="9">
        <v>17857</v>
      </c>
      <c r="D24" s="9">
        <v>12383</v>
      </c>
      <c r="E24" s="9">
        <v>11111</v>
      </c>
      <c r="F24" s="9">
        <v>11561</v>
      </c>
      <c r="G24" s="11">
        <v>12195</v>
      </c>
      <c r="H24" s="12">
        <v>11494</v>
      </c>
      <c r="I24" s="12">
        <v>12232</v>
      </c>
      <c r="J24" s="13">
        <v>11976</v>
      </c>
      <c r="K24" s="9">
        <v>12500</v>
      </c>
      <c r="L24" s="9">
        <v>14440</v>
      </c>
    </row>
    <row r="25" spans="1:12" ht="11.25">
      <c r="A25" s="2" t="s">
        <v>22</v>
      </c>
      <c r="B25" s="2"/>
      <c r="C25" s="14">
        <v>3821</v>
      </c>
      <c r="D25" s="14">
        <v>3764</v>
      </c>
      <c r="E25" s="14">
        <v>3386</v>
      </c>
      <c r="F25" s="14">
        <v>3545</v>
      </c>
      <c r="G25" s="15">
        <v>3403</v>
      </c>
      <c r="H25" s="14">
        <v>2221</v>
      </c>
      <c r="I25" s="14">
        <v>2143</v>
      </c>
      <c r="J25" s="16">
        <v>2156</v>
      </c>
      <c r="K25" s="14">
        <v>1800</v>
      </c>
      <c r="L25" s="14">
        <v>1400</v>
      </c>
    </row>
    <row r="26" spans="1:12" ht="11.25">
      <c r="A26" s="4" t="s">
        <v>23</v>
      </c>
      <c r="B26" s="4"/>
      <c r="C26" s="4"/>
      <c r="D26" s="4"/>
      <c r="F26" s="9"/>
      <c r="G26" s="11"/>
      <c r="H26" s="12"/>
      <c r="I26" s="12"/>
      <c r="J26" s="13"/>
      <c r="K26" s="9"/>
      <c r="L26" s="9"/>
    </row>
    <row r="27" spans="1:12" ht="11.25">
      <c r="A27" s="1" t="s">
        <v>12</v>
      </c>
      <c r="C27" s="9">
        <f>(C11+G11)/2</f>
        <v>88843</v>
      </c>
      <c r="D27" s="9">
        <f>(D11+H11)/2</f>
        <v>91312</v>
      </c>
      <c r="E27" s="9">
        <f>(E11+I11)/2</f>
        <v>92803.5</v>
      </c>
      <c r="F27" s="9">
        <f>+(F11+J11)/2</f>
        <v>96816</v>
      </c>
      <c r="G27" s="11">
        <f>+(G11+K11)/2</f>
        <v>112426</v>
      </c>
      <c r="H27" s="12">
        <f>+(135177+H11)/2</f>
        <v>117091.5</v>
      </c>
      <c r="I27" s="12">
        <f>+(140509+I11)/2</f>
        <v>121539</v>
      </c>
      <c r="J27" s="13">
        <f>+(140896+J11)/2</f>
        <v>123815</v>
      </c>
      <c r="K27" s="9">
        <f>(K11+L11)/2</f>
        <v>139147.5</v>
      </c>
      <c r="L27" s="9">
        <f>(L11+127837)/2</f>
        <v>138098</v>
      </c>
    </row>
    <row r="28" spans="1:12" ht="11.25">
      <c r="A28" s="1" t="s">
        <v>24</v>
      </c>
      <c r="C28" s="9">
        <f aca="true" t="shared" si="4" ref="C28:L28">C29+C30</f>
        <v>42421.5</v>
      </c>
      <c r="D28" s="9">
        <f t="shared" si="4"/>
        <v>41577</v>
      </c>
      <c r="E28" s="9">
        <f t="shared" si="4"/>
        <v>42366.5</v>
      </c>
      <c r="F28" s="9">
        <f t="shared" si="4"/>
        <v>44136.5</v>
      </c>
      <c r="G28" s="11">
        <f t="shared" si="4"/>
        <v>55772.5</v>
      </c>
      <c r="H28" s="12">
        <f t="shared" si="4"/>
        <v>57966.5</v>
      </c>
      <c r="I28" s="12">
        <f t="shared" si="4"/>
        <v>59734</v>
      </c>
      <c r="J28" s="13">
        <f t="shared" si="4"/>
        <v>60363</v>
      </c>
      <c r="K28" s="9">
        <f t="shared" si="4"/>
        <v>72911.5</v>
      </c>
      <c r="L28" s="9">
        <f t="shared" si="4"/>
        <v>66754.5</v>
      </c>
    </row>
    <row r="29" spans="2:12" ht="11.25">
      <c r="B29" s="1" t="s">
        <v>14</v>
      </c>
      <c r="C29" s="9">
        <f>(C13+G13)/2</f>
        <v>30540</v>
      </c>
      <c r="D29" s="9">
        <f>(D13+H13)/2</f>
        <v>30896.5</v>
      </c>
      <c r="E29" s="9">
        <f>(E13+I13)/2</f>
        <v>32509</v>
      </c>
      <c r="F29" s="9">
        <f>+(F13+J13)/2</f>
        <v>34549</v>
      </c>
      <c r="G29" s="11">
        <f>+(G13+K13)/2</f>
        <v>46044</v>
      </c>
      <c r="H29" s="12">
        <f>+(59044+H13)/2</f>
        <v>46622</v>
      </c>
      <c r="I29" s="12">
        <f>+(64235+I13)/2</f>
        <v>49810</v>
      </c>
      <c r="J29" s="13">
        <f>+(62581+J13)/2</f>
        <v>50540</v>
      </c>
      <c r="K29" s="9">
        <f>(K13+L13)/2</f>
        <v>61432</v>
      </c>
      <c r="L29" s="9">
        <f>(L13+47373)/2</f>
        <v>56247</v>
      </c>
    </row>
    <row r="30" spans="2:12" ht="11.25">
      <c r="B30" s="1" t="s">
        <v>17</v>
      </c>
      <c r="C30" s="9">
        <f>(C16+G16)/2</f>
        <v>11881.5</v>
      </c>
      <c r="D30" s="9">
        <f>(D16+H16)/2</f>
        <v>10680.5</v>
      </c>
      <c r="E30" s="9">
        <f>(E16+I16)/2</f>
        <v>9857.5</v>
      </c>
      <c r="F30" s="9">
        <f>+(F16+J16)/2</f>
        <v>9587.5</v>
      </c>
      <c r="G30" s="11">
        <f>+(G16+K16)/2</f>
        <v>9728.5</v>
      </c>
      <c r="H30" s="12">
        <f>+(13206+H16)/2</f>
        <v>11344.5</v>
      </c>
      <c r="I30" s="12">
        <f>+(10352+I16)/2</f>
        <v>9924</v>
      </c>
      <c r="J30" s="13">
        <f>+(10584+J16)/2</f>
        <v>9823</v>
      </c>
      <c r="K30" s="9">
        <f>(K16+L16)/2</f>
        <v>11479.5</v>
      </c>
      <c r="L30" s="9">
        <f>(L16+9070)/2</f>
        <v>10507.5</v>
      </c>
    </row>
    <row r="31" spans="1:12" ht="11.25">
      <c r="A31" s="2" t="s">
        <v>22</v>
      </c>
      <c r="B31" s="2"/>
      <c r="C31" s="14">
        <f>(C25+G25)/2</f>
        <v>3612</v>
      </c>
      <c r="D31" s="14">
        <f>(D25+H25)/2</f>
        <v>2992.5</v>
      </c>
      <c r="E31" s="14">
        <f>(E25+I25)/2</f>
        <v>2764.5</v>
      </c>
      <c r="F31" s="14">
        <f>+(F25+J25)/2</f>
        <v>2850.5</v>
      </c>
      <c r="G31" s="15">
        <f>+(G25+K25)/2</f>
        <v>2601.5</v>
      </c>
      <c r="H31" s="14">
        <f>+(1792+H25)/2</f>
        <v>2006.5</v>
      </c>
      <c r="I31" s="14">
        <f>+(1764+I25)/2</f>
        <v>1953.5</v>
      </c>
      <c r="J31" s="16">
        <f>+(1462+J25)/2</f>
        <v>1809</v>
      </c>
      <c r="K31" s="14">
        <f>(K25+L25)/2</f>
        <v>1600</v>
      </c>
      <c r="L31" s="14">
        <f>(L25+1000)/2</f>
        <v>1200</v>
      </c>
    </row>
    <row r="32" spans="1:10" ht="11.25">
      <c r="A32" s="4" t="s">
        <v>25</v>
      </c>
      <c r="B32" s="4"/>
      <c r="C32" s="4"/>
      <c r="D32" s="4"/>
      <c r="F32" s="9"/>
      <c r="G32" s="17"/>
      <c r="H32" s="18"/>
      <c r="I32" s="18"/>
      <c r="J32" s="19"/>
    </row>
    <row r="33" spans="1:12" ht="11.25">
      <c r="A33" s="1" t="s">
        <v>26</v>
      </c>
      <c r="C33" s="9">
        <v>3443</v>
      </c>
      <c r="D33" s="9">
        <v>2781</v>
      </c>
      <c r="E33" s="9">
        <v>2008</v>
      </c>
      <c r="F33" s="9">
        <v>1100</v>
      </c>
      <c r="G33" s="11">
        <v>5931</v>
      </c>
      <c r="H33" s="12">
        <v>4436</v>
      </c>
      <c r="I33" s="12">
        <v>3038</v>
      </c>
      <c r="J33" s="13">
        <v>1680</v>
      </c>
      <c r="K33" s="9">
        <v>6875</v>
      </c>
      <c r="L33" s="9">
        <v>6315</v>
      </c>
    </row>
    <row r="34" spans="1:12" ht="11.25">
      <c r="A34" s="1" t="s">
        <v>27</v>
      </c>
      <c r="C34" s="9">
        <v>3137</v>
      </c>
      <c r="D34" s="9">
        <v>2569</v>
      </c>
      <c r="E34" s="9">
        <v>1873</v>
      </c>
      <c r="F34" s="9">
        <v>1035</v>
      </c>
      <c r="G34" s="11">
        <v>4807</v>
      </c>
      <c r="H34" s="12">
        <v>3602</v>
      </c>
      <c r="I34" s="12">
        <v>2343</v>
      </c>
      <c r="J34" s="13">
        <v>1169</v>
      </c>
      <c r="K34" s="9">
        <v>5857</v>
      </c>
      <c r="L34" s="9">
        <v>5736</v>
      </c>
    </row>
    <row r="35" spans="1:12" ht="11.25">
      <c r="A35" s="1" t="s">
        <v>28</v>
      </c>
      <c r="C35" s="1">
        <f>+C33-C34</f>
        <v>306</v>
      </c>
      <c r="D35" s="9">
        <f aca="true" t="shared" si="5" ref="D35:L35">D33-D34</f>
        <v>212</v>
      </c>
      <c r="E35" s="9">
        <f t="shared" si="5"/>
        <v>135</v>
      </c>
      <c r="F35" s="9">
        <f t="shared" si="5"/>
        <v>65</v>
      </c>
      <c r="G35" s="11">
        <f t="shared" si="5"/>
        <v>1124</v>
      </c>
      <c r="H35" s="12">
        <f t="shared" si="5"/>
        <v>834</v>
      </c>
      <c r="I35" s="12">
        <f t="shared" si="5"/>
        <v>695</v>
      </c>
      <c r="J35" s="13">
        <f t="shared" si="5"/>
        <v>511</v>
      </c>
      <c r="K35" s="9">
        <f t="shared" si="5"/>
        <v>1018</v>
      </c>
      <c r="L35" s="9">
        <f t="shared" si="5"/>
        <v>579</v>
      </c>
    </row>
    <row r="36" spans="1:12" ht="11.25">
      <c r="A36" s="1" t="s">
        <v>29</v>
      </c>
      <c r="C36" s="9">
        <v>2868</v>
      </c>
      <c r="D36" s="9">
        <v>1947</v>
      </c>
      <c r="E36" s="9">
        <v>1048</v>
      </c>
      <c r="F36" s="9">
        <v>847</v>
      </c>
      <c r="G36" s="11">
        <v>1875</v>
      </c>
      <c r="H36" s="12">
        <v>794</v>
      </c>
      <c r="I36" s="12">
        <v>554</v>
      </c>
      <c r="J36" s="13">
        <v>176</v>
      </c>
      <c r="K36" s="9">
        <v>1750</v>
      </c>
      <c r="L36" s="9">
        <v>1814</v>
      </c>
    </row>
    <row r="37" spans="1:12" ht="11.25">
      <c r="A37" s="1" t="s">
        <v>30</v>
      </c>
      <c r="C37" s="9">
        <f>+C36+C35</f>
        <v>3174</v>
      </c>
      <c r="D37" s="9">
        <v>2159</v>
      </c>
      <c r="E37" s="9">
        <v>1184</v>
      </c>
      <c r="F37" s="9">
        <f aca="true" t="shared" si="6" ref="F37:L37">F35+F36</f>
        <v>912</v>
      </c>
      <c r="G37" s="11">
        <f t="shared" si="6"/>
        <v>2999</v>
      </c>
      <c r="H37" s="12">
        <f t="shared" si="6"/>
        <v>1628</v>
      </c>
      <c r="I37" s="12">
        <f t="shared" si="6"/>
        <v>1249</v>
      </c>
      <c r="J37" s="13">
        <f t="shared" si="6"/>
        <v>687</v>
      </c>
      <c r="K37" s="9">
        <f t="shared" si="6"/>
        <v>2768</v>
      </c>
      <c r="L37" s="9">
        <f t="shared" si="6"/>
        <v>2393</v>
      </c>
    </row>
    <row r="38" spans="1:12" ht="11.25">
      <c r="A38" s="1" t="s">
        <v>31</v>
      </c>
      <c r="C38" s="9">
        <v>2353</v>
      </c>
      <c r="D38" s="9">
        <v>1395</v>
      </c>
      <c r="E38" s="9">
        <v>797</v>
      </c>
      <c r="F38" s="9">
        <v>366</v>
      </c>
      <c r="G38" s="11">
        <v>1793</v>
      </c>
      <c r="H38" s="12">
        <v>1204</v>
      </c>
      <c r="I38" s="12">
        <v>905</v>
      </c>
      <c r="J38" s="13">
        <v>330</v>
      </c>
      <c r="K38" s="9">
        <v>1494</v>
      </c>
      <c r="L38" s="9">
        <v>686</v>
      </c>
    </row>
    <row r="39" spans="1:12" ht="11.25">
      <c r="A39" s="1" t="s">
        <v>32</v>
      </c>
      <c r="C39" s="9">
        <f>+C37-C38</f>
        <v>821</v>
      </c>
      <c r="D39" s="9">
        <f aca="true" t="shared" si="7" ref="D39:L39">D37-D38</f>
        <v>764</v>
      </c>
      <c r="E39" s="9">
        <f t="shared" si="7"/>
        <v>387</v>
      </c>
      <c r="F39" s="9">
        <f t="shared" si="7"/>
        <v>546</v>
      </c>
      <c r="G39" s="11">
        <f t="shared" si="7"/>
        <v>1206</v>
      </c>
      <c r="H39" s="12">
        <f t="shared" si="7"/>
        <v>424</v>
      </c>
      <c r="I39" s="12">
        <f t="shared" si="7"/>
        <v>344</v>
      </c>
      <c r="J39" s="13">
        <f t="shared" si="7"/>
        <v>357</v>
      </c>
      <c r="K39" s="9">
        <f t="shared" si="7"/>
        <v>1274</v>
      </c>
      <c r="L39" s="9">
        <f t="shared" si="7"/>
        <v>1707</v>
      </c>
    </row>
    <row r="40" spans="1:12" ht="11.25">
      <c r="A40" s="2" t="s">
        <v>33</v>
      </c>
      <c r="B40" s="2"/>
      <c r="C40" s="14">
        <v>821</v>
      </c>
      <c r="D40" s="14">
        <v>764</v>
      </c>
      <c r="E40" s="14">
        <v>387</v>
      </c>
      <c r="F40" s="14">
        <v>546</v>
      </c>
      <c r="G40" s="15">
        <v>1206</v>
      </c>
      <c r="H40" s="14">
        <v>424</v>
      </c>
      <c r="I40" s="14">
        <v>344</v>
      </c>
      <c r="J40" s="16">
        <v>357</v>
      </c>
      <c r="K40" s="14">
        <v>1274</v>
      </c>
      <c r="L40" s="14">
        <v>1707</v>
      </c>
    </row>
    <row r="41" spans="1:12" ht="11.25">
      <c r="A41" s="20" t="s">
        <v>34</v>
      </c>
      <c r="B41" s="20"/>
      <c r="C41" s="21"/>
      <c r="D41" s="21"/>
      <c r="E41" s="9"/>
      <c r="F41" s="3"/>
      <c r="G41" s="22"/>
      <c r="H41" s="3"/>
      <c r="I41" s="3"/>
      <c r="J41" s="23"/>
      <c r="K41" s="3"/>
      <c r="L41" s="3"/>
    </row>
    <row r="42" spans="1:12" ht="11.25">
      <c r="A42" s="18" t="s">
        <v>35</v>
      </c>
      <c r="B42" s="18"/>
      <c r="C42" s="24">
        <v>0</v>
      </c>
      <c r="D42" s="24">
        <v>0</v>
      </c>
      <c r="E42" s="9">
        <v>0</v>
      </c>
      <c r="F42" s="12">
        <v>0</v>
      </c>
      <c r="G42" s="11">
        <v>0</v>
      </c>
      <c r="H42" s="12">
        <v>0</v>
      </c>
      <c r="I42" s="12">
        <v>0</v>
      </c>
      <c r="J42" s="13">
        <v>0</v>
      </c>
      <c r="K42" s="12">
        <v>0</v>
      </c>
      <c r="L42" s="12">
        <v>0</v>
      </c>
    </row>
    <row r="43" spans="1:12" ht="11.25">
      <c r="A43" s="18" t="s">
        <v>36</v>
      </c>
      <c r="B43" s="18"/>
      <c r="C43" s="24">
        <v>0</v>
      </c>
      <c r="D43" s="24">
        <v>0</v>
      </c>
      <c r="E43" s="9">
        <v>0</v>
      </c>
      <c r="F43" s="12">
        <v>0</v>
      </c>
      <c r="G43" s="11">
        <v>0</v>
      </c>
      <c r="H43" s="12">
        <v>0</v>
      </c>
      <c r="I43" s="12">
        <v>0</v>
      </c>
      <c r="J43" s="13">
        <v>0</v>
      </c>
      <c r="K43" s="12">
        <v>0</v>
      </c>
      <c r="L43" s="12">
        <v>0</v>
      </c>
    </row>
    <row r="44" spans="1:12" ht="11.25">
      <c r="A44" s="18" t="s">
        <v>37</v>
      </c>
      <c r="B44" s="18"/>
      <c r="C44" s="12">
        <v>0</v>
      </c>
      <c r="D44" s="12">
        <v>0</v>
      </c>
      <c r="E44" s="12">
        <v>0</v>
      </c>
      <c r="F44" s="12">
        <v>0</v>
      </c>
      <c r="G44" s="11">
        <v>0</v>
      </c>
      <c r="H44" s="12">
        <v>0</v>
      </c>
      <c r="I44" s="12">
        <v>0</v>
      </c>
      <c r="J44" s="13">
        <v>0</v>
      </c>
      <c r="K44" s="12">
        <v>0</v>
      </c>
      <c r="L44" s="12">
        <v>0</v>
      </c>
    </row>
    <row r="45" spans="1:12" ht="11.25">
      <c r="A45" s="18" t="s">
        <v>38</v>
      </c>
      <c r="B45" s="18"/>
      <c r="C45" s="12">
        <v>0</v>
      </c>
      <c r="D45" s="12">
        <v>0</v>
      </c>
      <c r="E45" s="12">
        <v>0</v>
      </c>
      <c r="F45" s="12">
        <v>0</v>
      </c>
      <c r="G45" s="11">
        <v>0</v>
      </c>
      <c r="H45" s="12">
        <v>0</v>
      </c>
      <c r="I45" s="12">
        <v>0</v>
      </c>
      <c r="J45" s="13">
        <v>0</v>
      </c>
      <c r="K45" s="12">
        <v>0</v>
      </c>
      <c r="L45" s="12">
        <v>0</v>
      </c>
    </row>
    <row r="46" spans="1:12" ht="11.25">
      <c r="A46" s="2" t="s">
        <v>39</v>
      </c>
      <c r="B46" s="2"/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4">
        <v>0</v>
      </c>
      <c r="I46" s="14">
        <v>0</v>
      </c>
      <c r="J46" s="16">
        <v>0</v>
      </c>
      <c r="K46" s="14">
        <v>0</v>
      </c>
      <c r="L46" s="14">
        <v>0</v>
      </c>
    </row>
    <row r="47" spans="1:12" ht="11.25">
      <c r="A47" s="4" t="s">
        <v>40</v>
      </c>
      <c r="B47" s="4"/>
      <c r="C47" s="20"/>
      <c r="D47" s="20"/>
      <c r="E47" s="3"/>
      <c r="F47" s="23"/>
      <c r="G47" s="3"/>
      <c r="H47" s="3"/>
      <c r="I47" s="3"/>
      <c r="J47" s="23"/>
      <c r="K47" s="3"/>
      <c r="L47" s="3"/>
    </row>
    <row r="48" spans="1:12" ht="11.25">
      <c r="A48" s="1" t="s">
        <v>41</v>
      </c>
      <c r="C48" s="25">
        <f aca="true" t="shared" si="8" ref="C48:L48">C25/C13</f>
        <v>0.1429212642603329</v>
      </c>
      <c r="D48" s="25">
        <f t="shared" si="8"/>
        <v>0.13641140869060994</v>
      </c>
      <c r="E48" s="25">
        <f t="shared" si="8"/>
        <v>0.11426450241285054</v>
      </c>
      <c r="F48" s="26">
        <f t="shared" si="8"/>
        <v>0.11585345926337462</v>
      </c>
      <c r="G48" s="25">
        <f t="shared" si="8"/>
        <v>0.09908283592953851</v>
      </c>
      <c r="H48" s="25">
        <f t="shared" si="8"/>
        <v>0.06494152046783626</v>
      </c>
      <c r="I48" s="25">
        <f t="shared" si="8"/>
        <v>0.06056238519146531</v>
      </c>
      <c r="J48" s="26">
        <f t="shared" si="8"/>
        <v>0.05600145458323593</v>
      </c>
      <c r="K48" s="25">
        <f t="shared" si="8"/>
        <v>0.03117260966697262</v>
      </c>
      <c r="L48" s="25">
        <f t="shared" si="8"/>
        <v>0.02149844136300118</v>
      </c>
    </row>
    <row r="49" spans="1:12" ht="11.25">
      <c r="A49" s="2" t="s">
        <v>42</v>
      </c>
      <c r="B49" s="2"/>
      <c r="C49" s="27">
        <f aca="true" t="shared" si="9" ref="C49:L49">C25/(C13+C16)</f>
        <v>0.090857210795387</v>
      </c>
      <c r="D49" s="27">
        <f t="shared" si="9"/>
        <v>0.09536115122494997</v>
      </c>
      <c r="E49" s="27">
        <f t="shared" si="9"/>
        <v>0.08496436816220014</v>
      </c>
      <c r="F49" s="28">
        <f t="shared" si="9"/>
        <v>0.08707506386323442</v>
      </c>
      <c r="G49" s="27">
        <f t="shared" si="9"/>
        <v>0.07953164438627652</v>
      </c>
      <c r="H49" s="27">
        <f t="shared" si="9"/>
        <v>0.050843577593114024</v>
      </c>
      <c r="I49" s="27">
        <f t="shared" si="9"/>
        <v>0.047748490452530025</v>
      </c>
      <c r="J49" s="28">
        <f t="shared" si="9"/>
        <v>0.04533125880448267</v>
      </c>
      <c r="K49" s="27">
        <f t="shared" si="9"/>
        <v>0.026179152668091975</v>
      </c>
      <c r="L49" s="27">
        <f t="shared" si="9"/>
        <v>0.018166247112864298</v>
      </c>
    </row>
    <row r="50" spans="1:10" ht="11.25">
      <c r="A50" s="4" t="s">
        <v>43</v>
      </c>
      <c r="B50" s="4"/>
      <c r="C50" s="4"/>
      <c r="D50" s="4"/>
      <c r="G50" s="17"/>
      <c r="H50" s="18"/>
      <c r="I50" s="18"/>
      <c r="J50" s="19"/>
    </row>
    <row r="51" spans="1:12" ht="11.25">
      <c r="A51" s="1" t="s">
        <v>44</v>
      </c>
      <c r="C51" s="29">
        <f aca="true" t="shared" si="10" ref="C51:L51">C12/C17</f>
        <v>0.537339101926746</v>
      </c>
      <c r="D51" s="29">
        <f t="shared" si="10"/>
        <v>0.5836761582103197</v>
      </c>
      <c r="E51" s="29">
        <f t="shared" si="10"/>
        <v>0.5618806634518574</v>
      </c>
      <c r="F51" s="30">
        <f t="shared" si="10"/>
        <v>0.5550222789595787</v>
      </c>
      <c r="G51" s="31">
        <f t="shared" si="10"/>
        <v>0.5839850216341489</v>
      </c>
      <c r="H51" s="25">
        <f t="shared" si="10"/>
        <v>0.5864450961225155</v>
      </c>
      <c r="I51" s="25">
        <f t="shared" si="10"/>
        <v>0.5936782512973738</v>
      </c>
      <c r="J51" s="26">
        <f t="shared" si="10"/>
        <v>0.5651820711224842</v>
      </c>
      <c r="K51" s="30">
        <f t="shared" si="10"/>
        <v>0.4742800705237038</v>
      </c>
      <c r="L51" s="30">
        <f t="shared" si="10"/>
        <v>0.49358032712788497</v>
      </c>
    </row>
    <row r="52" spans="1:12" ht="11.25">
      <c r="A52" s="1" t="s">
        <v>45</v>
      </c>
      <c r="C52" s="29">
        <f aca="true" t="shared" si="11" ref="C52:L52">C12/C11</f>
        <v>0.4831702307599372</v>
      </c>
      <c r="D52" s="29">
        <f t="shared" si="11"/>
        <v>0.5192063909684518</v>
      </c>
      <c r="E52" s="29">
        <f t="shared" si="11"/>
        <v>0.510766155254221</v>
      </c>
      <c r="F52" s="30">
        <f t="shared" si="11"/>
        <v>0.520334184906442</v>
      </c>
      <c r="G52" s="31">
        <f t="shared" si="11"/>
        <v>0.5389291584137553</v>
      </c>
      <c r="H52" s="25">
        <f t="shared" si="11"/>
        <v>0.5453608872189565</v>
      </c>
      <c r="I52" s="25">
        <f t="shared" si="11"/>
        <v>0.5520966373855648</v>
      </c>
      <c r="J52" s="26">
        <f t="shared" si="11"/>
        <v>0.521464575486724</v>
      </c>
      <c r="K52" s="30">
        <f t="shared" si="11"/>
        <v>0.44718168944711245</v>
      </c>
      <c r="L52" s="30">
        <f t="shared" si="11"/>
        <v>0.47108028498439597</v>
      </c>
    </row>
    <row r="53" spans="1:12" ht="11.25">
      <c r="A53" s="2" t="s">
        <v>46</v>
      </c>
      <c r="B53" s="2"/>
      <c r="C53" s="32">
        <f aca="true" t="shared" si="12" ref="C53:L53">(C12+C16)/C17</f>
        <v>0.7431811463735791</v>
      </c>
      <c r="D53" s="32">
        <f t="shared" si="12"/>
        <v>0.743365330321852</v>
      </c>
      <c r="E53" s="32">
        <f t="shared" si="12"/>
        <v>0.6972603465635101</v>
      </c>
      <c r="F53" s="27">
        <f t="shared" si="12"/>
        <v>0.6791584322486406</v>
      </c>
      <c r="G53" s="33">
        <f t="shared" si="12"/>
        <v>0.6803740024887833</v>
      </c>
      <c r="H53" s="27">
        <f t="shared" si="12"/>
        <v>0.6894428152492669</v>
      </c>
      <c r="I53" s="27">
        <f t="shared" si="12"/>
        <v>0.6932326885778687</v>
      </c>
      <c r="J53" s="28">
        <f t="shared" si="12"/>
        <v>0.6572026239363107</v>
      </c>
      <c r="K53" s="27">
        <f t="shared" si="12"/>
        <v>0.5641814679378346</v>
      </c>
      <c r="L53" s="27">
        <f t="shared" si="12"/>
        <v>0.5779400548038081</v>
      </c>
    </row>
    <row r="54" spans="1:10" ht="11.25">
      <c r="A54" s="4" t="s">
        <v>47</v>
      </c>
      <c r="B54" s="4"/>
      <c r="C54" s="4"/>
      <c r="D54" s="4"/>
      <c r="G54" s="17"/>
      <c r="H54" s="18"/>
      <c r="I54" s="18"/>
      <c r="J54" s="19"/>
    </row>
    <row r="55" spans="1:12" ht="11.25">
      <c r="A55" s="1" t="s">
        <v>48</v>
      </c>
      <c r="B55" s="18"/>
      <c r="C55" s="34">
        <f>C40/C28</f>
        <v>0.01935339391582099</v>
      </c>
      <c r="D55" s="34">
        <f>(D40/0.75)/D28</f>
        <v>0.02450072556140815</v>
      </c>
      <c r="E55" s="30">
        <f>(E40/0.5)/E28</f>
        <v>0.01826915133419093</v>
      </c>
      <c r="F55" s="30">
        <f>((F40)/0.25)/F28</f>
        <v>0.04948285432691763</v>
      </c>
      <c r="G55" s="35">
        <f>G40/G28</f>
        <v>0.021623559998207</v>
      </c>
      <c r="H55" s="34">
        <f>(H40/0.75)/H28</f>
        <v>0.009752759496145763</v>
      </c>
      <c r="I55" s="34">
        <f>(I40/0.5)/I28</f>
        <v>0.011517728596779055</v>
      </c>
      <c r="J55" s="26">
        <f>((J40)/0.25)/J28</f>
        <v>0.023656875900800158</v>
      </c>
      <c r="K55" s="30">
        <f>K40/K28</f>
        <v>0.017473238103728493</v>
      </c>
      <c r="L55" s="30">
        <f>L40/L28</f>
        <v>0.02557130979933937</v>
      </c>
    </row>
    <row r="56" spans="1:12" ht="11.25">
      <c r="A56" s="1" t="s">
        <v>49</v>
      </c>
      <c r="B56" s="18"/>
      <c r="C56" s="34">
        <f>C40/C27</f>
        <v>0.009241020676924462</v>
      </c>
      <c r="D56" s="34">
        <f>(D40/0.75)/D27</f>
        <v>0.011155890426961041</v>
      </c>
      <c r="E56" s="30">
        <f>(E40/0.5)/E27</f>
        <v>0.008340202686321099</v>
      </c>
      <c r="F56" s="30">
        <f>((F40)/0.25)/F27</f>
        <v>0.02255825483391175</v>
      </c>
      <c r="G56" s="35">
        <f>G40/G27</f>
        <v>0.010727056019070322</v>
      </c>
      <c r="H56" s="34">
        <f>(H40/0.75)/H27</f>
        <v>0.004828132984318532</v>
      </c>
      <c r="I56" s="34">
        <f>(I40/0.5)/I27</f>
        <v>0.005660734414467784</v>
      </c>
      <c r="J56" s="26">
        <f>((J40)/0.25)/J27</f>
        <v>0.011533336025521947</v>
      </c>
      <c r="K56" s="30">
        <f>K40/K27</f>
        <v>0.009155751989795001</v>
      </c>
      <c r="L56" s="30">
        <f>L40/L27</f>
        <v>0.012360787267013281</v>
      </c>
    </row>
    <row r="57" spans="1:12" ht="11.25">
      <c r="A57" s="1" t="s">
        <v>50</v>
      </c>
      <c r="B57" s="18"/>
      <c r="C57" s="34">
        <f>+C40/C31</f>
        <v>0.22729789590254706</v>
      </c>
      <c r="D57" s="34">
        <f>(D40/0.75)/D31</f>
        <v>0.3404065719855193</v>
      </c>
      <c r="E57" s="30">
        <f>(E40/0.5)/E31</f>
        <v>0.27997829625610415</v>
      </c>
      <c r="F57" s="30">
        <f>((F40)/0.25)/F31</f>
        <v>0.7661813716891773</v>
      </c>
      <c r="G57" s="35">
        <f>+G40/G31</f>
        <v>0.46357870459350375</v>
      </c>
      <c r="H57" s="34">
        <f>(H40/0.75)/H31</f>
        <v>0.28175097599468396</v>
      </c>
      <c r="I57" s="34">
        <f>(I40/0.5)/I31</f>
        <v>0.35218837983107243</v>
      </c>
      <c r="J57" s="26">
        <f>((J40)/0.25)/J31</f>
        <v>0.7893864013266998</v>
      </c>
      <c r="K57" s="30">
        <f>K40/K31</f>
        <v>0.79625</v>
      </c>
      <c r="L57" s="30">
        <f>L40/L31</f>
        <v>1.4225</v>
      </c>
    </row>
    <row r="58" spans="1:12" ht="11.25">
      <c r="A58" s="1" t="s">
        <v>51</v>
      </c>
      <c r="B58" s="18"/>
      <c r="C58" s="34">
        <f>C33/C28</f>
        <v>0.08116167509399715</v>
      </c>
      <c r="D58" s="34">
        <f>(D33/0.75)/D28</f>
        <v>0.08918392380402626</v>
      </c>
      <c r="E58" s="30">
        <f>(E33/0.5)/E28</f>
        <v>0.09479187565647386</v>
      </c>
      <c r="F58" s="30">
        <f>((F33)/0.25)/F28</f>
        <v>0.09969073216045676</v>
      </c>
      <c r="G58" s="35">
        <f>G33/G28</f>
        <v>0.10634273163297324</v>
      </c>
      <c r="H58" s="34">
        <f>(H33/0.75)/H28</f>
        <v>0.1020359460492986</v>
      </c>
      <c r="I58" s="34">
        <f>(I33/0.5)/I28</f>
        <v>0.10171761475876386</v>
      </c>
      <c r="J58" s="26">
        <f>((J33)/0.25)/J28</f>
        <v>0.11132647482729487</v>
      </c>
      <c r="K58" s="30">
        <f>K33/K28</f>
        <v>0.09429239557545792</v>
      </c>
      <c r="L58" s="30">
        <f>L33/L27</f>
        <v>0.04572839577691205</v>
      </c>
    </row>
    <row r="59" spans="1:12" ht="11.25">
      <c r="A59" s="1" t="s">
        <v>52</v>
      </c>
      <c r="B59" s="18"/>
      <c r="C59" s="34">
        <f>C34/C28</f>
        <v>0.07394835166130383</v>
      </c>
      <c r="D59" s="34">
        <f>(D34/0.75)/D28</f>
        <v>0.08238529315086066</v>
      </c>
      <c r="E59" s="30">
        <f>(E34/0.5)/E28</f>
        <v>0.08841891588873284</v>
      </c>
      <c r="F59" s="30">
        <f>((F34)/0.25)/F28</f>
        <v>0.09379991616915705</v>
      </c>
      <c r="G59" s="35">
        <f>G34/G28</f>
        <v>0.08618943027477699</v>
      </c>
      <c r="H59" s="34">
        <f>(H34/0.75)/H28</f>
        <v>0.08285245213471</v>
      </c>
      <c r="I59" s="34">
        <f>(I34/0.5)/I28</f>
        <v>0.07844778518096897</v>
      </c>
      <c r="J59" s="26">
        <f>((J34)/0.25)/J28</f>
        <v>0.077464672067326</v>
      </c>
      <c r="K59" s="30">
        <f>K34/K28</f>
        <v>0.08033026340152102</v>
      </c>
      <c r="L59" s="30">
        <f>L34/L27</f>
        <v>0.04153572100971774</v>
      </c>
    </row>
    <row r="60" spans="1:12" ht="11.25">
      <c r="A60" s="1" t="s">
        <v>53</v>
      </c>
      <c r="B60" s="18"/>
      <c r="C60" s="34">
        <f>C35/C28</f>
        <v>0.007213323432693328</v>
      </c>
      <c r="D60" s="34">
        <f>(D35/0.75)/D28</f>
        <v>0.006798630653165613</v>
      </c>
      <c r="E60" s="30">
        <f>(E35/0.5)/E28</f>
        <v>0.006372959767741022</v>
      </c>
      <c r="F60" s="30">
        <f>((F35)/0.25)/F28</f>
        <v>0.005890815991299718</v>
      </c>
      <c r="G60" s="35">
        <f>G35/G28</f>
        <v>0.020153301358196242</v>
      </c>
      <c r="H60" s="34">
        <f>(H35/0.75)/H28</f>
        <v>0.0191834939145886</v>
      </c>
      <c r="I60" s="34">
        <f>(I35/0.5)/I28</f>
        <v>0.02326982957779489</v>
      </c>
      <c r="J60" s="26">
        <f>((J35)/0.25)/J28</f>
        <v>0.033861802759968855</v>
      </c>
      <c r="K60" s="30">
        <f>K35/K28</f>
        <v>0.013962132173936896</v>
      </c>
      <c r="L60" s="30">
        <f>L35/L27</f>
        <v>0.004192674767194311</v>
      </c>
    </row>
    <row r="61" spans="1:12" ht="11.25">
      <c r="A61" s="1" t="s">
        <v>54</v>
      </c>
      <c r="B61" s="18"/>
      <c r="C61" s="34">
        <f>C38/C37</f>
        <v>0.7413358538122243</v>
      </c>
      <c r="D61" s="34">
        <f>(D38/0.75)/(D37/0.75)</f>
        <v>0.6461324687355258</v>
      </c>
      <c r="E61" s="30">
        <f>(E38/0.5)/(E37/0.5)</f>
        <v>0.6731418918918919</v>
      </c>
      <c r="F61" s="30">
        <f>(F38/0.25)/(F37/0.25)</f>
        <v>0.40131578947368424</v>
      </c>
      <c r="G61" s="35">
        <f>G38/G37</f>
        <v>0.5978659553184394</v>
      </c>
      <c r="H61" s="34">
        <f>(H38/0.75)/(H37/0.75)</f>
        <v>0.7395577395577396</v>
      </c>
      <c r="I61" s="34">
        <f>(I38/0.5)/(I37/0.5)</f>
        <v>0.7245796637309848</v>
      </c>
      <c r="J61" s="26">
        <f>(J38/0.25)/(J37/0.25)</f>
        <v>0.48034934497816595</v>
      </c>
      <c r="K61" s="30">
        <f>K38/K37</f>
        <v>0.5397398843930635</v>
      </c>
      <c r="L61" s="30">
        <f>L38/L37</f>
        <v>0.2866694525699958</v>
      </c>
    </row>
    <row r="62" spans="1:12" ht="11.25">
      <c r="A62" s="2" t="s">
        <v>55</v>
      </c>
      <c r="B62" s="2"/>
      <c r="C62" s="36">
        <f>C36/C28</f>
        <v>0.06760722746720413</v>
      </c>
      <c r="D62" s="36">
        <f>(D36/0.75)/D28</f>
        <v>0.062438367366572864</v>
      </c>
      <c r="E62" s="27">
        <f>(E36/0.5)/E28</f>
        <v>0.0494730506414266</v>
      </c>
      <c r="F62" s="27">
        <f>(F36/0.25)/F28</f>
        <v>0.07676186376355171</v>
      </c>
      <c r="G62" s="37">
        <f>G36/G28</f>
        <v>0.033618718902685016</v>
      </c>
      <c r="H62" s="36">
        <f>(H36/0.75)/H28</f>
        <v>0.018263422264008813</v>
      </c>
      <c r="I62" s="36">
        <f>(I36/0.5)/I28</f>
        <v>0.018548900123882547</v>
      </c>
      <c r="J62" s="28">
        <f>(J36/0.25)/J28</f>
        <v>0.011662773553335653</v>
      </c>
      <c r="K62" s="27">
        <f>K36/K28</f>
        <v>0.024001700691934743</v>
      </c>
      <c r="L62" s="27">
        <f>L36/L27</f>
        <v>0.013135599356978377</v>
      </c>
    </row>
    <row r="63" spans="1:10" ht="11.25">
      <c r="A63" s="4" t="s">
        <v>56</v>
      </c>
      <c r="B63" s="4"/>
      <c r="C63" s="4"/>
      <c r="D63" s="4"/>
      <c r="G63" s="17"/>
      <c r="H63" s="18"/>
      <c r="I63" s="18"/>
      <c r="J63" s="19"/>
    </row>
    <row r="64" spans="1:12" ht="11.25">
      <c r="A64" s="1" t="s">
        <v>57</v>
      </c>
      <c r="C64" s="1">
        <v>9</v>
      </c>
      <c r="D64" s="9">
        <v>9</v>
      </c>
      <c r="E64" s="9">
        <v>9</v>
      </c>
      <c r="F64" s="1">
        <v>9</v>
      </c>
      <c r="G64" s="11">
        <v>9</v>
      </c>
      <c r="H64" s="12">
        <v>9</v>
      </c>
      <c r="I64" s="12">
        <v>9</v>
      </c>
      <c r="J64" s="13">
        <v>9</v>
      </c>
      <c r="K64" s="9">
        <v>9</v>
      </c>
      <c r="L64" s="9">
        <v>8</v>
      </c>
    </row>
    <row r="65" spans="1:12" ht="11.25">
      <c r="A65" s="1" t="s">
        <v>58</v>
      </c>
      <c r="C65" s="1">
        <v>1</v>
      </c>
      <c r="D65" s="9">
        <v>1</v>
      </c>
      <c r="E65" s="9">
        <v>1</v>
      </c>
      <c r="F65" s="1">
        <v>1</v>
      </c>
      <c r="G65" s="11">
        <v>1</v>
      </c>
      <c r="H65" s="12">
        <v>1</v>
      </c>
      <c r="I65" s="12">
        <v>1</v>
      </c>
      <c r="J65" s="13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3" ref="C66:L66">C13/C64</f>
        <v>2970.5555555555557</v>
      </c>
      <c r="D66" s="9">
        <f t="shared" si="13"/>
        <v>3065.8888888888887</v>
      </c>
      <c r="E66" s="9">
        <f t="shared" si="13"/>
        <v>3292.5555555555557</v>
      </c>
      <c r="F66" s="9">
        <f t="shared" si="13"/>
        <v>3399.8888888888887</v>
      </c>
      <c r="G66" s="11">
        <f t="shared" si="13"/>
        <v>3816.1111111111113</v>
      </c>
      <c r="H66" s="12">
        <f t="shared" si="13"/>
        <v>3800</v>
      </c>
      <c r="I66" s="12">
        <f t="shared" si="13"/>
        <v>3931.6666666666665</v>
      </c>
      <c r="J66" s="13">
        <f t="shared" si="13"/>
        <v>4277.666666666667</v>
      </c>
      <c r="K66" s="9">
        <f t="shared" si="13"/>
        <v>6415.888888888889</v>
      </c>
      <c r="L66" s="9">
        <f t="shared" si="13"/>
        <v>8140.125</v>
      </c>
    </row>
    <row r="67" spans="1:12" ht="11.25">
      <c r="A67" s="1" t="s">
        <v>60</v>
      </c>
      <c r="C67" s="9">
        <f aca="true" t="shared" si="14" ref="C67:L67">+C17/C64</f>
        <v>8269.555555555555</v>
      </c>
      <c r="D67" s="9">
        <f t="shared" si="14"/>
        <v>8264.666666666666</v>
      </c>
      <c r="E67" s="9">
        <f t="shared" si="14"/>
        <v>8387.111111111111</v>
      </c>
      <c r="F67" s="9">
        <f t="shared" si="14"/>
        <v>9051.888888888889</v>
      </c>
      <c r="G67" s="11">
        <f t="shared" si="14"/>
        <v>9732.555555555555</v>
      </c>
      <c r="H67" s="12">
        <f t="shared" si="14"/>
        <v>10230</v>
      </c>
      <c r="I67" s="12">
        <f t="shared" si="14"/>
        <v>10598.333333333334</v>
      </c>
      <c r="J67" s="13">
        <f t="shared" si="14"/>
        <v>10942</v>
      </c>
      <c r="K67" s="9">
        <f t="shared" si="14"/>
        <v>13612.444444444445</v>
      </c>
      <c r="L67" s="9">
        <f t="shared" si="14"/>
        <v>17699.5</v>
      </c>
    </row>
    <row r="68" spans="1:12" ht="11.25">
      <c r="A68" s="2" t="s">
        <v>61</v>
      </c>
      <c r="B68" s="2"/>
      <c r="C68" s="14">
        <f aca="true" t="shared" si="15" ref="C68:L68">+C40/C64</f>
        <v>91.22222222222223</v>
      </c>
      <c r="D68" s="14">
        <f t="shared" si="15"/>
        <v>84.88888888888889</v>
      </c>
      <c r="E68" s="14">
        <f t="shared" si="15"/>
        <v>43</v>
      </c>
      <c r="F68" s="14">
        <f t="shared" si="15"/>
        <v>60.666666666666664</v>
      </c>
      <c r="G68" s="15">
        <f t="shared" si="15"/>
        <v>134</v>
      </c>
      <c r="H68" s="14">
        <f t="shared" si="15"/>
        <v>47.111111111111114</v>
      </c>
      <c r="I68" s="14">
        <f t="shared" si="15"/>
        <v>38.22222222222222</v>
      </c>
      <c r="J68" s="16">
        <f t="shared" si="15"/>
        <v>39.666666666666664</v>
      </c>
      <c r="K68" s="14">
        <f t="shared" si="15"/>
        <v>141.55555555555554</v>
      </c>
      <c r="L68" s="14">
        <f t="shared" si="15"/>
        <v>213.375</v>
      </c>
    </row>
    <row r="69" spans="1:10" ht="11.25">
      <c r="A69" s="4" t="s">
        <v>62</v>
      </c>
      <c r="B69" s="4"/>
      <c r="C69" s="4"/>
      <c r="D69" s="4"/>
      <c r="G69" s="17"/>
      <c r="H69" s="18"/>
      <c r="I69" s="18"/>
      <c r="J69" s="19"/>
    </row>
    <row r="70" spans="1:12" ht="11.25">
      <c r="A70" s="1" t="s">
        <v>63</v>
      </c>
      <c r="C70" s="30">
        <f>(C11/G11)-1</f>
        <v>-0.1279657802688693</v>
      </c>
      <c r="D70" s="30">
        <f>(D11/H11)-1</f>
        <v>-0.15542492374199546</v>
      </c>
      <c r="E70" s="30">
        <f>(E11/I11)-1</f>
        <v>-0.19041815753297775</v>
      </c>
      <c r="F70" s="30">
        <f>+(F11/J11)-1</f>
        <v>-0.18584518522682558</v>
      </c>
      <c r="G70" s="31">
        <f>+(G11/K11)-1</f>
        <v>-0.26951730082502157</v>
      </c>
      <c r="H70" s="25">
        <f>+(H11/135177)-1</f>
        <v>-0.26758250294058905</v>
      </c>
      <c r="I70" s="25">
        <f>+(I11/140509)-1</f>
        <v>-0.27001829064330396</v>
      </c>
      <c r="J70" s="26">
        <f>+(J11/140896)-1</f>
        <v>-0.24246252555076087</v>
      </c>
      <c r="K70" s="30">
        <f>+(K11/L11)-1</f>
        <v>-0.12417851293147031</v>
      </c>
      <c r="L70" s="30">
        <f>(L11/127837)-1</f>
        <v>0.16053255317318138</v>
      </c>
    </row>
    <row r="71" spans="1:12" ht="11.25">
      <c r="A71" s="1" t="s">
        <v>64</v>
      </c>
      <c r="C71" s="30">
        <f>(C13/G13)-1</f>
        <v>-0.221575192895618</v>
      </c>
      <c r="D71" s="30">
        <f>(D13/H13)-1</f>
        <v>-0.19318713450292402</v>
      </c>
      <c r="E71" s="30">
        <f>(E13/I13)-1</f>
        <v>-0.16255475483962134</v>
      </c>
      <c r="F71" s="30">
        <f aca="true" t="shared" si="16" ref="F71:L71">SUM(F72:F73)</f>
        <v>-0.20520013506844337</v>
      </c>
      <c r="G71" s="31">
        <f t="shared" si="16"/>
        <v>-0.40520928943768075</v>
      </c>
      <c r="H71" s="25">
        <f t="shared" si="16"/>
        <v>-0.4207807604369549</v>
      </c>
      <c r="I71" s="25">
        <f t="shared" si="16"/>
        <v>-0.4491406687838595</v>
      </c>
      <c r="J71" s="26">
        <f t="shared" si="16"/>
        <v>-0.3848132819865454</v>
      </c>
      <c r="K71" s="30">
        <f t="shared" si="16"/>
        <v>-0.11329678598301618</v>
      </c>
      <c r="L71" s="30">
        <f t="shared" si="16"/>
        <v>0.37464378443417146</v>
      </c>
    </row>
    <row r="72" spans="2:12" ht="11.25">
      <c r="B72" s="1" t="s">
        <v>15</v>
      </c>
      <c r="C72" s="30">
        <v>0</v>
      </c>
      <c r="D72" s="30">
        <v>0</v>
      </c>
      <c r="E72" s="30">
        <v>0</v>
      </c>
      <c r="F72" s="30">
        <v>0</v>
      </c>
      <c r="G72" s="31">
        <v>0</v>
      </c>
      <c r="H72" s="25">
        <v>0</v>
      </c>
      <c r="I72" s="25">
        <v>0</v>
      </c>
      <c r="J72" s="26">
        <v>0</v>
      </c>
      <c r="K72" s="30">
        <v>0</v>
      </c>
      <c r="L72" s="30">
        <v>0</v>
      </c>
    </row>
    <row r="73" spans="2:12" ht="11.25">
      <c r="B73" s="1" t="s">
        <v>16</v>
      </c>
      <c r="C73" s="30">
        <f>(C15/G15)-1</f>
        <v>-0.221575192895618</v>
      </c>
      <c r="D73" s="30">
        <f>(D15/H15)-1</f>
        <v>-0.19318713450292402</v>
      </c>
      <c r="E73" s="30">
        <f>(E15/I15)-1</f>
        <v>-0.16255475483962134</v>
      </c>
      <c r="F73" s="30">
        <f>+(F15/J15)-1</f>
        <v>-0.20520013506844337</v>
      </c>
      <c r="G73" s="31">
        <f>+(G15/K15)-1</f>
        <v>-0.40520928943768075</v>
      </c>
      <c r="H73" s="25">
        <f>+(H15/59045)-1</f>
        <v>-0.4207807604369549</v>
      </c>
      <c r="I73" s="25">
        <f>+(I15/64236)-1</f>
        <v>-0.4491406687838595</v>
      </c>
      <c r="J73" s="26">
        <f>+(J15/62581)-1</f>
        <v>-0.3848132819865454</v>
      </c>
      <c r="K73" s="30">
        <f>+(K15/L15)-1</f>
        <v>-0.11329678598301618</v>
      </c>
      <c r="L73" s="30">
        <f>+(L15/47373)-1</f>
        <v>0.37464378443417146</v>
      </c>
    </row>
    <row r="74" spans="1:12" ht="11.25">
      <c r="A74" s="1" t="s">
        <v>65</v>
      </c>
      <c r="C74" s="30">
        <f>(C17/G17)-1</f>
        <v>-0.15032023106869274</v>
      </c>
      <c r="D74" s="30">
        <f>(D17/H17)-1</f>
        <v>-0.19211469534050174</v>
      </c>
      <c r="E74" s="30">
        <f>(E17/I17)-1</f>
        <v>-0.20863867484405307</v>
      </c>
      <c r="F74" s="30">
        <f aca="true" t="shared" si="17" ref="F74:L74">SUM(F75:F76)</f>
        <v>-0.17273908893356893</v>
      </c>
      <c r="G74" s="31">
        <f t="shared" si="17"/>
        <v>-0.2850251403944103</v>
      </c>
      <c r="H74" s="25">
        <f t="shared" si="17"/>
        <v>-0.2880836948201072</v>
      </c>
      <c r="I74" s="25">
        <f t="shared" si="17"/>
        <v>-0.2873419802157736</v>
      </c>
      <c r="J74" s="26">
        <f t="shared" si="17"/>
        <v>-0.2761259307718883</v>
      </c>
      <c r="K74" s="30">
        <f t="shared" si="17"/>
        <v>-0.13477781858244586</v>
      </c>
      <c r="L74" s="30">
        <f t="shared" si="17"/>
        <v>0.15763397784409117</v>
      </c>
    </row>
    <row r="75" spans="2:12" ht="11.25">
      <c r="B75" s="1" t="s">
        <v>15</v>
      </c>
      <c r="C75" s="30">
        <v>0</v>
      </c>
      <c r="D75" s="30">
        <v>0</v>
      </c>
      <c r="E75" s="30">
        <v>0</v>
      </c>
      <c r="F75" s="30">
        <v>0</v>
      </c>
      <c r="G75" s="31">
        <v>0</v>
      </c>
      <c r="H75" s="25">
        <v>0</v>
      </c>
      <c r="I75" s="25">
        <v>0</v>
      </c>
      <c r="J75" s="26">
        <v>0</v>
      </c>
      <c r="K75" s="30">
        <v>0</v>
      </c>
      <c r="L75" s="30">
        <v>0</v>
      </c>
    </row>
    <row r="76" spans="2:12" ht="11.25">
      <c r="B76" s="1" t="s">
        <v>16</v>
      </c>
      <c r="C76" s="30">
        <f>(C22/G22)-1</f>
        <v>-0.15032023106869274</v>
      </c>
      <c r="D76" s="30">
        <f>(D22/H22)-1</f>
        <v>-0.19211469534050174</v>
      </c>
      <c r="E76" s="30">
        <f>(E22/I22)-1</f>
        <v>-0.20863867484405307</v>
      </c>
      <c r="F76" s="30">
        <f>+(F22/J22)-1</f>
        <v>-0.17273908893356893</v>
      </c>
      <c r="G76" s="31">
        <f>+(G22/K22)-1</f>
        <v>-0.2850251403944103</v>
      </c>
      <c r="H76" s="25">
        <f>+(H22/129327)-1</f>
        <v>-0.2880836948201072</v>
      </c>
      <c r="I76" s="25">
        <f>+(I22/133844)-1</f>
        <v>-0.2873419802157736</v>
      </c>
      <c r="J76" s="26">
        <f>+(J22/136043)-1</f>
        <v>-0.2761259307718883</v>
      </c>
      <c r="K76" s="30">
        <f>+(K22/L22)-1</f>
        <v>-0.13477781858244586</v>
      </c>
      <c r="L76" s="30">
        <f>+(L22/122315)-1</f>
        <v>0.15763397784409117</v>
      </c>
    </row>
    <row r="77" spans="1:12" ht="11.25">
      <c r="A77" s="1" t="s">
        <v>66</v>
      </c>
      <c r="C77" s="30">
        <f>(C25/G25)-1</f>
        <v>0.12283279459300611</v>
      </c>
      <c r="D77" s="30">
        <f>(D25/H25)-1</f>
        <v>0.694732102656461</v>
      </c>
      <c r="E77" s="30">
        <f>(E25/I25)-1</f>
        <v>0.5800279981334577</v>
      </c>
      <c r="F77" s="25">
        <f>+(F25/J25)-1</f>
        <v>0.6442486085343229</v>
      </c>
      <c r="G77" s="31">
        <f>+(G25/K25)-1</f>
        <v>0.8905555555555555</v>
      </c>
      <c r="H77" s="25">
        <f>+(H25/1792)-1</f>
        <v>0.2393973214285714</v>
      </c>
      <c r="I77" s="25">
        <f>+(I25/1764)-1</f>
        <v>0.21485260770975056</v>
      </c>
      <c r="J77" s="26">
        <f>+(J25/1462)-1</f>
        <v>0.4746922024623803</v>
      </c>
      <c r="K77" s="25">
        <f>+(K25/L25)-1</f>
        <v>0.2857142857142858</v>
      </c>
      <c r="L77" s="25">
        <f>(L25/1000)-1</f>
        <v>0.3999999999999999</v>
      </c>
    </row>
    <row r="78" spans="1:12" ht="11.25">
      <c r="A78" s="2" t="s">
        <v>67</v>
      </c>
      <c r="B78" s="2"/>
      <c r="C78" s="27">
        <f>(C40/G40)-1</f>
        <v>-0.3192371475953566</v>
      </c>
      <c r="D78" s="27">
        <f>(D40/H40)-1</f>
        <v>0.8018867924528301</v>
      </c>
      <c r="E78" s="27">
        <f>(E40/I40)-1</f>
        <v>0.125</v>
      </c>
      <c r="F78" s="27">
        <f>+(F40/J40)-1</f>
        <v>0.5294117647058822</v>
      </c>
      <c r="G78" s="33">
        <f>+(G40/K40)-1</f>
        <v>-0.053375196232339106</v>
      </c>
      <c r="H78" s="27">
        <f>+(H40/393)-1</f>
        <v>0.07888040712468203</v>
      </c>
      <c r="I78" s="27">
        <f>+(I40/364)-1</f>
        <v>-0.05494505494505497</v>
      </c>
      <c r="J78" s="28">
        <f>+(J40/62)-1</f>
        <v>4.758064516129032</v>
      </c>
      <c r="K78" s="27">
        <f>+(K40/L40)-1</f>
        <v>-0.25366139425893375</v>
      </c>
      <c r="L78" s="27">
        <f>+(L40/918)-1</f>
        <v>0.8594771241830066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7973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2002-03-19T16:39:23Z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