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ibanco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<sst xmlns="http://schemas.openxmlformats.org/spreadsheetml/2006/main" count="108" uniqueCount="69">
  <si>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CUADRO No 18-8</t>
  </si>
  <si>
    <t>MIBANCO, S.A.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</si>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</sst>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4" xfId="15" applyNumberFormat="1" applyFont="1" applyBorder="1" applyAlignment="1">
      <alignment horizontal="right"/>
    </xf>
    <xf numFmtId="179" fontId="2" fillId="0" borderId="6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0" xfId="19" applyNumberFormat="1" applyFont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0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43" fontId="2" fillId="0" borderId="0" xfId="15" applyFont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43" fontId="2" fillId="0" borderId="1" xfId="15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0" fontId="2" fillId="0" borderId="6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1.57421875" style="1" customWidth="1"/>
    <col min="2" max="2" width="40.7109375" style="1" customWidth="1"/>
    <col min="3" max="3" width="8.7109375" style="1" customWidth="1"/>
    <col min="4" max="4" width="9.57421875" style="1" customWidth="1"/>
    <col min="5" max="6" width="7.140625" style="1" bestFit="1" customWidth="1"/>
    <col min="7" max="7" width="9.140625" style="1" customWidth="1"/>
    <col min="8" max="8" width="9.8515625" style="1" customWidth="1"/>
    <col min="9" max="11" width="8.00390625" style="1" bestFit="1" customWidth="1"/>
    <col min="12" max="12" width="6.57421875" style="1" hidden="1" customWidth="1"/>
    <col min="13" max="16384" width="11.421875" style="1" customWidth="1"/>
  </cols>
  <sheetData>
    <row r="1" ht="11.25"/>
    <row r="2" spans="2:12" ht="11.25">
      <c r="B2" s="51"/>
      <c r="C2" s="51"/>
      <c r="D2" s="51"/>
      <c r="E2" s="51"/>
      <c r="F2" s="51" t="s">
        <v>0</v>
      </c>
      <c r="H2" s="51"/>
      <c r="I2" s="51"/>
      <c r="J2" s="51"/>
      <c r="K2" s="51"/>
      <c r="L2" s="51"/>
    </row>
    <row r="3" spans="2:12" ht="11.25">
      <c r="B3" s="51"/>
      <c r="C3" s="51"/>
      <c r="D3" s="51"/>
      <c r="E3" s="51"/>
      <c r="F3" s="51" t="s">
        <v>1</v>
      </c>
      <c r="H3" s="51"/>
      <c r="I3" s="51"/>
      <c r="J3" s="51"/>
      <c r="K3" s="51"/>
      <c r="L3" s="51"/>
    </row>
    <row r="4" spans="2:12" ht="11.25">
      <c r="B4" s="51"/>
      <c r="C4" s="51"/>
      <c r="D4" s="51"/>
      <c r="E4" s="51"/>
      <c r="F4" s="51" t="s">
        <v>2</v>
      </c>
      <c r="H4" s="51"/>
      <c r="I4" s="51"/>
      <c r="J4" s="51"/>
      <c r="K4" s="51"/>
      <c r="L4" s="51"/>
    </row>
    <row r="5" spans="2:12" ht="11.25">
      <c r="B5" s="50"/>
      <c r="C5" s="50"/>
      <c r="D5" s="50"/>
      <c r="E5" s="50"/>
      <c r="F5" s="50" t="s">
        <v>3</v>
      </c>
      <c r="H5" s="50"/>
      <c r="I5" s="50"/>
      <c r="J5" s="50"/>
      <c r="K5" s="50"/>
      <c r="L5" s="50"/>
    </row>
    <row r="6" spans="1:12" ht="11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9">
        <v>2001</v>
      </c>
      <c r="D8" s="59"/>
      <c r="E8" s="59"/>
      <c r="F8" s="60"/>
      <c r="G8" s="58">
        <v>2000</v>
      </c>
      <c r="H8" s="59"/>
      <c r="I8" s="59"/>
      <c r="J8" s="60"/>
      <c r="K8" s="58" t="s">
        <v>4</v>
      </c>
      <c r="L8" s="60"/>
    </row>
    <row r="9" spans="1:12" s="4" customFormat="1" ht="11.25">
      <c r="A9" s="52"/>
      <c r="B9" s="52"/>
      <c r="C9" s="52" t="s">
        <v>5</v>
      </c>
      <c r="D9" s="52" t="s">
        <v>6</v>
      </c>
      <c r="E9" s="52" t="s">
        <v>7</v>
      </c>
      <c r="F9" s="52" t="s">
        <v>8</v>
      </c>
      <c r="G9" s="53" t="s">
        <v>5</v>
      </c>
      <c r="H9" s="54" t="s">
        <v>6</v>
      </c>
      <c r="I9" s="54" t="s">
        <v>7</v>
      </c>
      <c r="J9" s="55" t="s">
        <v>8</v>
      </c>
      <c r="K9" s="56" t="s">
        <v>9</v>
      </c>
      <c r="L9" s="57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6042</v>
      </c>
      <c r="D11" s="8">
        <v>5790</v>
      </c>
      <c r="E11" s="8">
        <v>5682</v>
      </c>
      <c r="F11" s="8">
        <v>5531</v>
      </c>
      <c r="G11" s="9">
        <v>5621</v>
      </c>
      <c r="H11" s="10">
        <v>4285</v>
      </c>
      <c r="I11" s="10">
        <v>4405</v>
      </c>
      <c r="J11" s="11">
        <v>4613</v>
      </c>
      <c r="K11" s="9">
        <v>4889</v>
      </c>
      <c r="L11" s="11">
        <v>2957</v>
      </c>
    </row>
    <row r="12" spans="1:12" ht="11.25">
      <c r="A12" s="1" t="s">
        <v>13</v>
      </c>
      <c r="C12" s="8">
        <v>2815</v>
      </c>
      <c r="D12" s="8">
        <v>2902</v>
      </c>
      <c r="E12" s="8">
        <v>3237</v>
      </c>
      <c r="F12" s="8">
        <v>3492</v>
      </c>
      <c r="G12" s="9">
        <v>3707</v>
      </c>
      <c r="H12" s="10">
        <v>2518</v>
      </c>
      <c r="I12" s="10">
        <v>2508</v>
      </c>
      <c r="J12" s="11">
        <v>3025</v>
      </c>
      <c r="K12" s="9">
        <v>3205</v>
      </c>
      <c r="L12" s="11">
        <v>2115</v>
      </c>
    </row>
    <row r="13" spans="1:12" ht="11.25">
      <c r="A13" s="1" t="s">
        <v>14</v>
      </c>
      <c r="C13" s="8">
        <f aca="true" t="shared" si="0" ref="C13:L13">C14+C15</f>
        <v>2041</v>
      </c>
      <c r="D13" s="8">
        <f t="shared" si="0"/>
        <v>1727</v>
      </c>
      <c r="E13" s="8">
        <f t="shared" si="0"/>
        <v>1275</v>
      </c>
      <c r="F13" s="8">
        <f t="shared" si="0"/>
        <v>828</v>
      </c>
      <c r="G13" s="9">
        <f t="shared" si="0"/>
        <v>553</v>
      </c>
      <c r="H13" s="10">
        <f t="shared" si="0"/>
        <v>396</v>
      </c>
      <c r="I13" s="10">
        <f t="shared" si="0"/>
        <v>359</v>
      </c>
      <c r="J13" s="11">
        <f t="shared" si="0"/>
        <v>357</v>
      </c>
      <c r="K13" s="9">
        <f t="shared" si="0"/>
        <v>299</v>
      </c>
      <c r="L13" s="11">
        <f t="shared" si="0"/>
        <v>143</v>
      </c>
    </row>
    <row r="14" spans="2:12" ht="11.25">
      <c r="B14" s="1" t="s">
        <v>15</v>
      </c>
      <c r="C14" s="8">
        <v>2041</v>
      </c>
      <c r="D14" s="8">
        <v>1727</v>
      </c>
      <c r="E14" s="8">
        <v>1275</v>
      </c>
      <c r="F14" s="8">
        <v>828</v>
      </c>
      <c r="G14" s="9">
        <v>553</v>
      </c>
      <c r="H14" s="10">
        <v>396</v>
      </c>
      <c r="I14" s="10">
        <v>359</v>
      </c>
      <c r="J14" s="11">
        <v>357</v>
      </c>
      <c r="K14" s="9">
        <v>299</v>
      </c>
      <c r="L14" s="11">
        <v>143</v>
      </c>
    </row>
    <row r="15" spans="2:12" ht="11.25">
      <c r="B15" s="1" t="s">
        <v>16</v>
      </c>
      <c r="C15" s="8">
        <v>0</v>
      </c>
      <c r="D15" s="8">
        <v>0</v>
      </c>
      <c r="E15" s="8">
        <v>0</v>
      </c>
      <c r="F15" s="8">
        <v>0</v>
      </c>
      <c r="G15" s="9"/>
      <c r="H15" s="10">
        <v>0</v>
      </c>
      <c r="I15" s="10">
        <v>0</v>
      </c>
      <c r="J15" s="11">
        <v>0</v>
      </c>
      <c r="K15" s="9">
        <v>0</v>
      </c>
      <c r="L15" s="11">
        <v>0</v>
      </c>
    </row>
    <row r="16" spans="1:12" ht="11.25">
      <c r="A16" s="1" t="s">
        <v>17</v>
      </c>
      <c r="C16" s="8">
        <v>0</v>
      </c>
      <c r="D16" s="8">
        <v>4</v>
      </c>
      <c r="E16" s="8">
        <v>5</v>
      </c>
      <c r="F16" s="8">
        <v>4</v>
      </c>
      <c r="G16" s="9">
        <v>204</v>
      </c>
      <c r="H16" s="10">
        <v>204</v>
      </c>
      <c r="I16" s="10">
        <v>353</v>
      </c>
      <c r="J16" s="11">
        <v>2</v>
      </c>
      <c r="K16" s="9">
        <v>2</v>
      </c>
      <c r="L16" s="11">
        <v>1</v>
      </c>
    </row>
    <row r="17" spans="1:12" ht="11.25">
      <c r="A17" s="1" t="s">
        <v>18</v>
      </c>
      <c r="C17" s="8">
        <f aca="true" t="shared" si="1" ref="C17:L17">C18+C22</f>
        <v>874</v>
      </c>
      <c r="D17" s="8">
        <f t="shared" si="1"/>
        <v>581</v>
      </c>
      <c r="E17" s="8">
        <f t="shared" si="1"/>
        <v>455</v>
      </c>
      <c r="F17" s="8">
        <f t="shared" si="1"/>
        <v>226</v>
      </c>
      <c r="G17" s="9">
        <f t="shared" si="1"/>
        <v>128</v>
      </c>
      <c r="H17" s="10">
        <f t="shared" si="1"/>
        <v>104</v>
      </c>
      <c r="I17" s="10">
        <f t="shared" si="1"/>
        <v>70</v>
      </c>
      <c r="J17" s="11">
        <f t="shared" si="1"/>
        <v>67</v>
      </c>
      <c r="K17" s="9">
        <f t="shared" si="1"/>
        <v>40</v>
      </c>
      <c r="L17" s="11">
        <f t="shared" si="1"/>
        <v>6</v>
      </c>
    </row>
    <row r="18" spans="2:12" ht="11.25">
      <c r="B18" s="1" t="s">
        <v>15</v>
      </c>
      <c r="C18" s="8">
        <f aca="true" t="shared" si="2" ref="C18:L18">SUM(C19:C21)</f>
        <v>874</v>
      </c>
      <c r="D18" s="8">
        <f t="shared" si="2"/>
        <v>581</v>
      </c>
      <c r="E18" s="8">
        <f t="shared" si="2"/>
        <v>455</v>
      </c>
      <c r="F18" s="8">
        <f t="shared" si="2"/>
        <v>226</v>
      </c>
      <c r="G18" s="9">
        <f t="shared" si="2"/>
        <v>128</v>
      </c>
      <c r="H18" s="10">
        <f t="shared" si="2"/>
        <v>104</v>
      </c>
      <c r="I18" s="10">
        <f t="shared" si="2"/>
        <v>70</v>
      </c>
      <c r="J18" s="11">
        <f t="shared" si="2"/>
        <v>67</v>
      </c>
      <c r="K18" s="9">
        <f t="shared" si="2"/>
        <v>40</v>
      </c>
      <c r="L18" s="11">
        <f t="shared" si="2"/>
        <v>6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874</v>
      </c>
      <c r="D20" s="8">
        <v>581</v>
      </c>
      <c r="E20" s="8">
        <v>455</v>
      </c>
      <c r="F20" s="8">
        <v>226</v>
      </c>
      <c r="G20" s="9">
        <v>128</v>
      </c>
      <c r="H20" s="10">
        <v>104</v>
      </c>
      <c r="I20" s="10">
        <v>70</v>
      </c>
      <c r="J20" s="11">
        <v>67</v>
      </c>
      <c r="K20" s="9">
        <v>40</v>
      </c>
      <c r="L20" s="11">
        <v>6</v>
      </c>
    </row>
    <row r="21" spans="2:12" ht="11.25">
      <c r="B21" s="1" t="s">
        <v>21</v>
      </c>
      <c r="C21" s="8">
        <v>0</v>
      </c>
      <c r="D21" s="8">
        <v>0</v>
      </c>
      <c r="E21" s="8">
        <v>0</v>
      </c>
      <c r="F21" s="8">
        <v>0</v>
      </c>
      <c r="G21" s="9">
        <v>0</v>
      </c>
      <c r="H21" s="10">
        <v>0</v>
      </c>
      <c r="I21" s="10">
        <v>0</v>
      </c>
      <c r="J21" s="11">
        <v>0</v>
      </c>
      <c r="K21" s="9">
        <v>0</v>
      </c>
      <c r="L21" s="11">
        <v>0</v>
      </c>
    </row>
    <row r="22" spans="2:12" ht="11.25">
      <c r="B22" s="1" t="s">
        <v>16</v>
      </c>
      <c r="C22" s="8">
        <f aca="true" t="shared" si="3" ref="C22:L22">SUM(C23:C24)</f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9">
        <f t="shared" si="3"/>
        <v>0</v>
      </c>
      <c r="H22" s="10">
        <f t="shared" si="3"/>
        <v>0</v>
      </c>
      <c r="I22" s="10">
        <f t="shared" si="3"/>
        <v>0</v>
      </c>
      <c r="J22" s="11">
        <f t="shared" si="3"/>
        <v>0</v>
      </c>
      <c r="K22" s="9">
        <f t="shared" si="3"/>
        <v>0</v>
      </c>
      <c r="L22" s="11">
        <f t="shared" si="3"/>
        <v>0</v>
      </c>
    </row>
    <row r="23" spans="2:12" ht="11.25">
      <c r="B23" s="1" t="s">
        <v>20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  <c r="H23" s="10">
        <v>0</v>
      </c>
      <c r="I23" s="10">
        <v>0</v>
      </c>
      <c r="J23" s="11">
        <v>0</v>
      </c>
      <c r="K23" s="9">
        <v>0</v>
      </c>
      <c r="L23" s="11">
        <v>0</v>
      </c>
    </row>
    <row r="24" spans="2:12" ht="11.25">
      <c r="B24" s="1" t="s">
        <v>21</v>
      </c>
      <c r="C24" s="8">
        <v>0</v>
      </c>
      <c r="D24" s="8">
        <v>0</v>
      </c>
      <c r="E24" s="8">
        <v>0</v>
      </c>
      <c r="F24" s="8">
        <v>0</v>
      </c>
      <c r="G24" s="9">
        <v>0</v>
      </c>
      <c r="H24" s="10">
        <v>0</v>
      </c>
      <c r="I24" s="10">
        <v>0</v>
      </c>
      <c r="J24" s="11">
        <v>0</v>
      </c>
      <c r="K24" s="9">
        <v>0</v>
      </c>
      <c r="L24" s="11">
        <v>0</v>
      </c>
    </row>
    <row r="25" spans="1:12" ht="11.25">
      <c r="A25" s="2" t="s">
        <v>22</v>
      </c>
      <c r="B25" s="2"/>
      <c r="C25" s="12">
        <v>4906</v>
      </c>
      <c r="D25" s="12">
        <v>4880</v>
      </c>
      <c r="E25" s="12">
        <v>4969</v>
      </c>
      <c r="F25" s="12">
        <v>5122</v>
      </c>
      <c r="G25" s="13">
        <v>4960</v>
      </c>
      <c r="H25" s="12">
        <v>3851</v>
      </c>
      <c r="I25" s="12">
        <v>4012</v>
      </c>
      <c r="J25" s="14">
        <v>4218</v>
      </c>
      <c r="K25" s="13">
        <v>4569</v>
      </c>
      <c r="L25" s="14">
        <v>2802</v>
      </c>
    </row>
    <row r="26" spans="1:12" ht="11.25">
      <c r="A26" s="4" t="s">
        <v>23</v>
      </c>
      <c r="C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5831.5</v>
      </c>
      <c r="D27" s="8">
        <f>(D11+H11)/2</f>
        <v>5037.5</v>
      </c>
      <c r="E27" s="8">
        <f>(E11+I11)/2</f>
        <v>5043.5</v>
      </c>
      <c r="F27" s="8">
        <f>+(F11+J11)/2</f>
        <v>5072</v>
      </c>
      <c r="G27" s="9">
        <f>+(G11+K11)/2</f>
        <v>5255</v>
      </c>
      <c r="H27" s="10">
        <v>3739</v>
      </c>
      <c r="I27" s="10">
        <v>3729</v>
      </c>
      <c r="J27" s="11">
        <v>3772</v>
      </c>
      <c r="K27" s="9">
        <f>(K11+L11)/2</f>
        <v>3923</v>
      </c>
      <c r="L27" s="15" t="s">
        <v>24</v>
      </c>
    </row>
    <row r="28" spans="1:12" ht="11.25">
      <c r="A28" s="1" t="s">
        <v>25</v>
      </c>
      <c r="C28" s="8">
        <f aca="true" t="shared" si="4" ref="C28:K28">C29+C30</f>
        <v>1399</v>
      </c>
      <c r="D28" s="8">
        <f t="shared" si="4"/>
        <v>1165.5</v>
      </c>
      <c r="E28" s="8">
        <f t="shared" si="4"/>
        <v>996</v>
      </c>
      <c r="F28" s="8">
        <f t="shared" si="4"/>
        <v>595.5</v>
      </c>
      <c r="G28" s="9">
        <f t="shared" si="4"/>
        <v>529</v>
      </c>
      <c r="H28" s="10">
        <f t="shared" si="4"/>
        <v>419</v>
      </c>
      <c r="I28" s="10">
        <f t="shared" si="4"/>
        <v>444</v>
      </c>
      <c r="J28" s="11">
        <f t="shared" si="4"/>
        <v>248</v>
      </c>
      <c r="K28" s="9">
        <f t="shared" si="4"/>
        <v>222.5</v>
      </c>
      <c r="L28" s="15" t="s">
        <v>24</v>
      </c>
    </row>
    <row r="29" spans="2:12" ht="11.25">
      <c r="B29" s="1" t="s">
        <v>14</v>
      </c>
      <c r="C29" s="8">
        <f>(C13+G13)/2</f>
        <v>1297</v>
      </c>
      <c r="D29" s="8">
        <f>(D13+H13)/2</f>
        <v>1061.5</v>
      </c>
      <c r="E29" s="8">
        <f>(E13+I13)/2</f>
        <v>817</v>
      </c>
      <c r="F29" s="8">
        <f>+(F13+J13)/2</f>
        <v>592.5</v>
      </c>
      <c r="G29" s="9">
        <f>+(G13+K13)/2</f>
        <v>426</v>
      </c>
      <c r="H29" s="10">
        <v>317</v>
      </c>
      <c r="I29" s="10">
        <v>267</v>
      </c>
      <c r="J29" s="11">
        <v>246</v>
      </c>
      <c r="K29" s="9">
        <f>(K13+L13)/2</f>
        <v>221</v>
      </c>
      <c r="L29" s="15" t="s">
        <v>24</v>
      </c>
    </row>
    <row r="30" spans="2:12" ht="11.25">
      <c r="B30" s="1" t="s">
        <v>17</v>
      </c>
      <c r="C30" s="8">
        <f>(C16+G16)/2</f>
        <v>102</v>
      </c>
      <c r="D30" s="8">
        <f>(D16+H16)/2</f>
        <v>104</v>
      </c>
      <c r="E30" s="8">
        <f>(E16+I16)/2</f>
        <v>179</v>
      </c>
      <c r="F30" s="8">
        <f>+(F16+J16)/2</f>
        <v>3</v>
      </c>
      <c r="G30" s="9">
        <f>+(G16+K16)/2</f>
        <v>103</v>
      </c>
      <c r="H30" s="10">
        <v>102</v>
      </c>
      <c r="I30" s="10">
        <v>177</v>
      </c>
      <c r="J30" s="11">
        <v>2</v>
      </c>
      <c r="K30" s="9">
        <f>(K16+L16)/2</f>
        <v>1.5</v>
      </c>
      <c r="L30" s="15" t="s">
        <v>24</v>
      </c>
    </row>
    <row r="31" spans="1:12" ht="11.25">
      <c r="A31" s="2" t="s">
        <v>22</v>
      </c>
      <c r="B31" s="2"/>
      <c r="C31" s="12">
        <f>(C25+G25)/2</f>
        <v>4933</v>
      </c>
      <c r="D31" s="12">
        <f>(D25+H25)/2</f>
        <v>4365.5</v>
      </c>
      <c r="E31" s="12">
        <f>(E25+I25)/2</f>
        <v>4490.5</v>
      </c>
      <c r="F31" s="12">
        <f>+(F25+J25)/2</f>
        <v>4670</v>
      </c>
      <c r="G31" s="13">
        <f>+(G25+K25)/2</f>
        <v>4764.5</v>
      </c>
      <c r="H31" s="12">
        <v>3239</v>
      </c>
      <c r="I31" s="12">
        <v>3345</v>
      </c>
      <c r="J31" s="14">
        <v>3479</v>
      </c>
      <c r="K31" s="13">
        <f>(K25+L25)/2</f>
        <v>3685.5</v>
      </c>
      <c r="L31" s="16" t="s">
        <v>24</v>
      </c>
    </row>
    <row r="32" spans="1:12" ht="11.25">
      <c r="A32" s="4" t="s">
        <v>26</v>
      </c>
      <c r="C32" s="8"/>
      <c r="E32" s="8"/>
      <c r="F32" s="8"/>
      <c r="G32" s="17"/>
      <c r="H32" s="18"/>
      <c r="I32" s="18"/>
      <c r="J32" s="19"/>
      <c r="K32" s="17"/>
      <c r="L32" s="19"/>
    </row>
    <row r="33" spans="1:12" ht="11.25">
      <c r="A33" s="1" t="s">
        <v>27</v>
      </c>
      <c r="C33" s="8">
        <v>428</v>
      </c>
      <c r="D33" s="8">
        <v>303</v>
      </c>
      <c r="E33" s="8">
        <v>196</v>
      </c>
      <c r="F33" s="8">
        <v>99</v>
      </c>
      <c r="G33" s="9">
        <v>302</v>
      </c>
      <c r="H33" s="10">
        <v>227</v>
      </c>
      <c r="I33" s="10">
        <v>160</v>
      </c>
      <c r="J33" s="11">
        <v>78</v>
      </c>
      <c r="K33" s="9">
        <v>197</v>
      </c>
      <c r="L33" s="11">
        <v>189</v>
      </c>
    </row>
    <row r="34" spans="1:12" ht="11.25">
      <c r="A34" s="1" t="s">
        <v>28</v>
      </c>
      <c r="C34" s="8">
        <v>24</v>
      </c>
      <c r="D34" s="8">
        <v>12</v>
      </c>
      <c r="E34" s="8">
        <v>4</v>
      </c>
      <c r="F34" s="8">
        <v>2</v>
      </c>
      <c r="G34" s="9">
        <v>1</v>
      </c>
      <c r="H34" s="10">
        <v>1</v>
      </c>
      <c r="I34" s="10">
        <v>1</v>
      </c>
      <c r="J34" s="11">
        <v>0</v>
      </c>
      <c r="K34" s="9">
        <v>6</v>
      </c>
      <c r="L34" s="11">
        <v>3</v>
      </c>
    </row>
    <row r="35" spans="1:12" ht="11.25">
      <c r="A35" s="1" t="s">
        <v>29</v>
      </c>
      <c r="C35" s="8">
        <f aca="true" t="shared" si="5" ref="C35:L35">C33-C34</f>
        <v>404</v>
      </c>
      <c r="D35" s="8">
        <f t="shared" si="5"/>
        <v>291</v>
      </c>
      <c r="E35" s="8">
        <f t="shared" si="5"/>
        <v>192</v>
      </c>
      <c r="F35" s="8">
        <f t="shared" si="5"/>
        <v>97</v>
      </c>
      <c r="G35" s="9">
        <f t="shared" si="5"/>
        <v>301</v>
      </c>
      <c r="H35" s="10">
        <f t="shared" si="5"/>
        <v>226</v>
      </c>
      <c r="I35" s="10">
        <f t="shared" si="5"/>
        <v>159</v>
      </c>
      <c r="J35" s="11">
        <f t="shared" si="5"/>
        <v>78</v>
      </c>
      <c r="K35" s="9">
        <f t="shared" si="5"/>
        <v>191</v>
      </c>
      <c r="L35" s="11">
        <f t="shared" si="5"/>
        <v>186</v>
      </c>
    </row>
    <row r="36" spans="1:12" ht="11.25">
      <c r="A36" s="1" t="s">
        <v>30</v>
      </c>
      <c r="C36" s="8">
        <v>257</v>
      </c>
      <c r="D36" s="8">
        <v>153</v>
      </c>
      <c r="E36" s="8">
        <v>78</v>
      </c>
      <c r="F36" s="8">
        <v>28</v>
      </c>
      <c r="G36" s="9">
        <v>41</v>
      </c>
      <c r="H36" s="10">
        <v>24</v>
      </c>
      <c r="I36" s="10">
        <v>10</v>
      </c>
      <c r="J36" s="11">
        <v>4</v>
      </c>
      <c r="K36" s="9">
        <v>470</v>
      </c>
      <c r="L36" s="11">
        <v>163</v>
      </c>
    </row>
    <row r="37" spans="1:12" ht="11.25">
      <c r="A37" s="1" t="s">
        <v>31</v>
      </c>
      <c r="C37" s="8">
        <f aca="true" t="shared" si="6" ref="C37:L37">C35+C36</f>
        <v>661</v>
      </c>
      <c r="D37" s="8">
        <f t="shared" si="6"/>
        <v>444</v>
      </c>
      <c r="E37" s="8">
        <f t="shared" si="6"/>
        <v>270</v>
      </c>
      <c r="F37" s="8">
        <f t="shared" si="6"/>
        <v>125</v>
      </c>
      <c r="G37" s="9">
        <f t="shared" si="6"/>
        <v>342</v>
      </c>
      <c r="H37" s="10">
        <f t="shared" si="6"/>
        <v>250</v>
      </c>
      <c r="I37" s="10">
        <f t="shared" si="6"/>
        <v>169</v>
      </c>
      <c r="J37" s="11">
        <f t="shared" si="6"/>
        <v>82</v>
      </c>
      <c r="K37" s="9">
        <f t="shared" si="6"/>
        <v>661</v>
      </c>
      <c r="L37" s="11">
        <f t="shared" si="6"/>
        <v>349</v>
      </c>
    </row>
    <row r="38" spans="1:12" ht="11.25">
      <c r="A38" s="1" t="s">
        <v>32</v>
      </c>
      <c r="C38" s="8">
        <v>1014</v>
      </c>
      <c r="D38" s="8">
        <v>747</v>
      </c>
      <c r="E38" s="8">
        <v>512</v>
      </c>
      <c r="F38" s="8">
        <v>241</v>
      </c>
      <c r="G38" s="9">
        <v>1023</v>
      </c>
      <c r="H38" s="10">
        <v>745</v>
      </c>
      <c r="I38" s="10">
        <v>501</v>
      </c>
      <c r="J38" s="11">
        <v>248</v>
      </c>
      <c r="K38" s="9">
        <v>941</v>
      </c>
      <c r="L38" s="11">
        <v>536</v>
      </c>
    </row>
    <row r="39" spans="1:12" ht="11.25">
      <c r="A39" s="1" t="s">
        <v>33</v>
      </c>
      <c r="C39" s="8">
        <f aca="true" t="shared" si="7" ref="C39:L39">C37-C38</f>
        <v>-353</v>
      </c>
      <c r="D39" s="8">
        <f t="shared" si="7"/>
        <v>-303</v>
      </c>
      <c r="E39" s="8">
        <f t="shared" si="7"/>
        <v>-242</v>
      </c>
      <c r="F39" s="8">
        <f t="shared" si="7"/>
        <v>-116</v>
      </c>
      <c r="G39" s="9">
        <f t="shared" si="7"/>
        <v>-681</v>
      </c>
      <c r="H39" s="10">
        <f t="shared" si="7"/>
        <v>-495</v>
      </c>
      <c r="I39" s="10">
        <f t="shared" si="7"/>
        <v>-332</v>
      </c>
      <c r="J39" s="11">
        <f t="shared" si="7"/>
        <v>-166</v>
      </c>
      <c r="K39" s="9">
        <f t="shared" si="7"/>
        <v>-280</v>
      </c>
      <c r="L39" s="11">
        <f t="shared" si="7"/>
        <v>-187</v>
      </c>
    </row>
    <row r="40" spans="1:12" ht="11.25">
      <c r="A40" s="2" t="s">
        <v>34</v>
      </c>
      <c r="B40" s="2"/>
      <c r="C40" s="12">
        <v>-409</v>
      </c>
      <c r="D40" s="12">
        <v>-361</v>
      </c>
      <c r="E40" s="12">
        <v>-271</v>
      </c>
      <c r="F40" s="12">
        <v>-119</v>
      </c>
      <c r="G40" s="13">
        <v>-729</v>
      </c>
      <c r="H40" s="12">
        <v>-538</v>
      </c>
      <c r="I40" s="12">
        <v>-380</v>
      </c>
      <c r="J40" s="14">
        <v>-175</v>
      </c>
      <c r="K40" s="13">
        <v>-298</v>
      </c>
      <c r="L40" s="14">
        <v>-197</v>
      </c>
    </row>
    <row r="41" spans="1:12" ht="11.25">
      <c r="A41" s="4" t="s">
        <v>35</v>
      </c>
      <c r="C41" s="8"/>
      <c r="G41" s="17"/>
      <c r="H41" s="18"/>
      <c r="I41" s="18"/>
      <c r="J41" s="19"/>
      <c r="K41" s="17"/>
      <c r="L41" s="19"/>
    </row>
    <row r="42" spans="1:12" ht="11.25">
      <c r="A42" s="1" t="s">
        <v>36</v>
      </c>
      <c r="C42" s="8">
        <v>42</v>
      </c>
      <c r="D42" s="1">
        <v>41</v>
      </c>
      <c r="E42" s="1">
        <v>34</v>
      </c>
      <c r="F42" s="8">
        <v>0</v>
      </c>
      <c r="G42" s="9">
        <v>0</v>
      </c>
      <c r="H42" s="10">
        <v>0</v>
      </c>
      <c r="I42" s="10">
        <v>0</v>
      </c>
      <c r="J42" s="11">
        <v>0</v>
      </c>
      <c r="K42" s="9">
        <v>0</v>
      </c>
      <c r="L42" s="15">
        <v>0</v>
      </c>
    </row>
    <row r="43" spans="1:12" ht="11.25">
      <c r="A43" s="1" t="s">
        <v>37</v>
      </c>
      <c r="C43" s="8">
        <v>49</v>
      </c>
      <c r="D43" s="1">
        <v>64</v>
      </c>
      <c r="E43" s="1">
        <v>37</v>
      </c>
      <c r="F43" s="8">
        <v>28</v>
      </c>
      <c r="G43" s="9">
        <v>24</v>
      </c>
      <c r="H43" s="10">
        <v>17</v>
      </c>
      <c r="I43" s="10">
        <v>16</v>
      </c>
      <c r="J43" s="11">
        <v>15</v>
      </c>
      <c r="K43" s="9">
        <v>15</v>
      </c>
      <c r="L43" s="15">
        <v>7</v>
      </c>
    </row>
    <row r="44" spans="1:12" ht="11.25">
      <c r="A44" s="1" t="s">
        <v>38</v>
      </c>
      <c r="C44" s="20">
        <f aca="true" t="shared" si="8" ref="C44:L44">C42/C13</f>
        <v>0.020578147966683</v>
      </c>
      <c r="D44" s="20">
        <f t="shared" si="8"/>
        <v>0.02374059061957151</v>
      </c>
      <c r="E44" s="20">
        <f t="shared" si="8"/>
        <v>0.02666666666666667</v>
      </c>
      <c r="F44" s="20">
        <f t="shared" si="8"/>
        <v>0</v>
      </c>
      <c r="G44" s="21">
        <f t="shared" si="8"/>
        <v>0</v>
      </c>
      <c r="H44" s="22">
        <f t="shared" si="8"/>
        <v>0</v>
      </c>
      <c r="I44" s="22">
        <f t="shared" si="8"/>
        <v>0</v>
      </c>
      <c r="J44" s="23">
        <f t="shared" si="8"/>
        <v>0</v>
      </c>
      <c r="K44" s="21">
        <f t="shared" si="8"/>
        <v>0</v>
      </c>
      <c r="L44" s="23">
        <f t="shared" si="8"/>
        <v>0</v>
      </c>
    </row>
    <row r="45" spans="1:12" ht="11.25">
      <c r="A45" s="1" t="s">
        <v>39</v>
      </c>
      <c r="C45" s="20">
        <f>C43/C42</f>
        <v>1.1666666666666667</v>
      </c>
      <c r="D45" s="20">
        <f>D43/D42</f>
        <v>1.5609756097560976</v>
      </c>
      <c r="E45" s="20">
        <f>E43/E42</f>
        <v>1.088235294117647</v>
      </c>
      <c r="F45" s="24" t="s">
        <v>24</v>
      </c>
      <c r="G45" s="25" t="s">
        <v>24</v>
      </c>
      <c r="H45" s="26" t="s">
        <v>24</v>
      </c>
      <c r="I45" s="26" t="s">
        <v>24</v>
      </c>
      <c r="J45" s="27" t="s">
        <v>24</v>
      </c>
      <c r="K45" s="25" t="s">
        <v>24</v>
      </c>
      <c r="L45" s="27" t="s">
        <v>24</v>
      </c>
    </row>
    <row r="46" spans="1:12" ht="11.25">
      <c r="A46" s="2" t="s">
        <v>40</v>
      </c>
      <c r="B46" s="2"/>
      <c r="C46" s="28">
        <f aca="true" t="shared" si="9" ref="C46:L46">C43/C13</f>
        <v>0.0240078392944635</v>
      </c>
      <c r="D46" s="28">
        <f t="shared" si="9"/>
        <v>0.03705848291835553</v>
      </c>
      <c r="E46" s="28">
        <f t="shared" si="9"/>
        <v>0.029019607843137254</v>
      </c>
      <c r="F46" s="28">
        <f t="shared" si="9"/>
        <v>0.033816425120772944</v>
      </c>
      <c r="G46" s="29">
        <f t="shared" si="9"/>
        <v>0.0433996383363472</v>
      </c>
      <c r="H46" s="28">
        <f t="shared" si="9"/>
        <v>0.04292929292929293</v>
      </c>
      <c r="I46" s="28">
        <f t="shared" si="9"/>
        <v>0.04456824512534819</v>
      </c>
      <c r="J46" s="30">
        <f t="shared" si="9"/>
        <v>0.04201680672268908</v>
      </c>
      <c r="K46" s="29">
        <f t="shared" si="9"/>
        <v>0.05016722408026756</v>
      </c>
      <c r="L46" s="30">
        <f t="shared" si="9"/>
        <v>0.04895104895104895</v>
      </c>
    </row>
    <row r="47" spans="1:12" ht="11.25">
      <c r="A47" s="4" t="s">
        <v>41</v>
      </c>
      <c r="G47" s="17"/>
      <c r="H47" s="18"/>
      <c r="I47" s="18"/>
      <c r="J47" s="19"/>
      <c r="K47" s="17"/>
      <c r="L47" s="19"/>
    </row>
    <row r="48" spans="1:12" ht="11.25">
      <c r="A48" s="1" t="s">
        <v>42</v>
      </c>
      <c r="C48" s="20">
        <f aca="true" t="shared" si="10" ref="C48:L48">C25/(C13+C16)</f>
        <v>2.403723664870162</v>
      </c>
      <c r="D48" s="20">
        <f t="shared" si="10"/>
        <v>2.8191796649335643</v>
      </c>
      <c r="E48" s="20">
        <f t="shared" si="10"/>
        <v>3.88203125</v>
      </c>
      <c r="F48" s="20">
        <f t="shared" si="10"/>
        <v>6.15625</v>
      </c>
      <c r="G48" s="21">
        <f t="shared" si="10"/>
        <v>6.55217965653897</v>
      </c>
      <c r="H48" s="22">
        <f t="shared" si="10"/>
        <v>6.418333333333333</v>
      </c>
      <c r="I48" s="22">
        <f t="shared" si="10"/>
        <v>5.634831460674158</v>
      </c>
      <c r="J48" s="23">
        <f t="shared" si="10"/>
        <v>11.749303621169917</v>
      </c>
      <c r="K48" s="21">
        <f t="shared" si="10"/>
        <v>15.179401993355482</v>
      </c>
      <c r="L48" s="23">
        <f t="shared" si="10"/>
        <v>19.458333333333332</v>
      </c>
    </row>
    <row r="49" spans="1:12" ht="11.25">
      <c r="A49" s="2" t="s">
        <v>43</v>
      </c>
      <c r="B49" s="2"/>
      <c r="C49" s="28">
        <f aca="true" t="shared" si="11" ref="C49:L49">C25/C13</f>
        <v>2.403723664870162</v>
      </c>
      <c r="D49" s="28">
        <f t="shared" si="11"/>
        <v>2.825709322524609</v>
      </c>
      <c r="E49" s="28">
        <f t="shared" si="11"/>
        <v>3.8972549019607845</v>
      </c>
      <c r="F49" s="28">
        <f t="shared" si="11"/>
        <v>6.185990338164252</v>
      </c>
      <c r="G49" s="29">
        <f t="shared" si="11"/>
        <v>8.969258589511755</v>
      </c>
      <c r="H49" s="28">
        <f t="shared" si="11"/>
        <v>9.724747474747474</v>
      </c>
      <c r="I49" s="28">
        <f t="shared" si="11"/>
        <v>11.175487465181059</v>
      </c>
      <c r="J49" s="30">
        <f t="shared" si="11"/>
        <v>11.815126050420169</v>
      </c>
      <c r="K49" s="29">
        <f t="shared" si="11"/>
        <v>15.280936454849499</v>
      </c>
      <c r="L49" s="30">
        <f t="shared" si="11"/>
        <v>19.594405594405593</v>
      </c>
    </row>
    <row r="50" spans="1:12" ht="11.25">
      <c r="A50" s="4" t="s">
        <v>44</v>
      </c>
      <c r="G50" s="17"/>
      <c r="H50" s="18"/>
      <c r="I50" s="18"/>
      <c r="J50" s="19"/>
      <c r="K50" s="17"/>
      <c r="L50" s="19"/>
    </row>
    <row r="51" spans="1:12" ht="11.25">
      <c r="A51" s="1" t="s">
        <v>45</v>
      </c>
      <c r="C51" s="31">
        <f aca="true" t="shared" si="12" ref="C51:L51">C12/C17</f>
        <v>3.220823798627002</v>
      </c>
      <c r="D51" s="31">
        <f t="shared" si="12"/>
        <v>4.994836488812393</v>
      </c>
      <c r="E51" s="31">
        <f t="shared" si="12"/>
        <v>7.114285714285714</v>
      </c>
      <c r="F51" s="31">
        <f t="shared" si="12"/>
        <v>15.451327433628318</v>
      </c>
      <c r="G51" s="32">
        <f t="shared" si="12"/>
        <v>28.9609375</v>
      </c>
      <c r="H51" s="33">
        <f t="shared" si="12"/>
        <v>24.21153846153846</v>
      </c>
      <c r="I51" s="33">
        <f t="shared" si="12"/>
        <v>35.82857142857143</v>
      </c>
      <c r="J51" s="34">
        <f t="shared" si="12"/>
        <v>45.149253731343286</v>
      </c>
      <c r="K51" s="32">
        <f t="shared" si="12"/>
        <v>80.125</v>
      </c>
      <c r="L51" s="34">
        <f t="shared" si="12"/>
        <v>352.5</v>
      </c>
    </row>
    <row r="52" spans="1:12" ht="11.25">
      <c r="A52" s="1" t="s">
        <v>46</v>
      </c>
      <c r="C52" s="31">
        <f aca="true" t="shared" si="13" ref="C52:L52">C12/C11</f>
        <v>0.4659053293611387</v>
      </c>
      <c r="D52" s="31">
        <f t="shared" si="13"/>
        <v>0.5012089810017271</v>
      </c>
      <c r="E52" s="31">
        <f t="shared" si="13"/>
        <v>0.5696937697993664</v>
      </c>
      <c r="F52" s="31">
        <f t="shared" si="13"/>
        <v>0.6313505695172663</v>
      </c>
      <c r="G52" s="32">
        <f t="shared" si="13"/>
        <v>0.6594911937377691</v>
      </c>
      <c r="H52" s="33">
        <f t="shared" si="13"/>
        <v>0.5876312718786464</v>
      </c>
      <c r="I52" s="33">
        <f t="shared" si="13"/>
        <v>0.5693530079455165</v>
      </c>
      <c r="J52" s="34">
        <f t="shared" si="13"/>
        <v>0.6557554736613918</v>
      </c>
      <c r="K52" s="32">
        <f t="shared" si="13"/>
        <v>0.6555532828799345</v>
      </c>
      <c r="L52" s="34">
        <f t="shared" si="13"/>
        <v>0.7152519445383835</v>
      </c>
    </row>
    <row r="53" spans="1:12" ht="11.25">
      <c r="A53" s="2" t="s">
        <v>47</v>
      </c>
      <c r="B53" s="2"/>
      <c r="C53" s="35">
        <f>(C12+C16)/C17</f>
        <v>3.220823798627002</v>
      </c>
      <c r="D53" s="2"/>
      <c r="E53" s="35">
        <f aca="true" t="shared" si="14" ref="E53:L53">(E12+E16)/E17</f>
        <v>7.125274725274726</v>
      </c>
      <c r="F53" s="35">
        <f t="shared" si="14"/>
        <v>15.469026548672566</v>
      </c>
      <c r="G53" s="36">
        <f t="shared" si="14"/>
        <v>30.5546875</v>
      </c>
      <c r="H53" s="35">
        <f t="shared" si="14"/>
        <v>26.173076923076923</v>
      </c>
      <c r="I53" s="35">
        <f t="shared" si="14"/>
        <v>40.871428571428574</v>
      </c>
      <c r="J53" s="37">
        <f t="shared" si="14"/>
        <v>45.17910447761194</v>
      </c>
      <c r="K53" s="36">
        <f t="shared" si="14"/>
        <v>80.175</v>
      </c>
      <c r="L53" s="37">
        <f t="shared" si="14"/>
        <v>352.6666666666667</v>
      </c>
    </row>
    <row r="54" spans="1:12" ht="11.25">
      <c r="A54" s="4" t="s">
        <v>48</v>
      </c>
      <c r="G54" s="17"/>
      <c r="H54" s="18"/>
      <c r="I54" s="18"/>
      <c r="J54" s="19"/>
      <c r="K54" s="17"/>
      <c r="L54" s="19"/>
    </row>
    <row r="55" spans="1:12" ht="11.25">
      <c r="A55" s="1" t="s">
        <v>49</v>
      </c>
      <c r="B55" s="18"/>
      <c r="C55" s="22">
        <f>(C40)/C28</f>
        <v>-0.2923516797712652</v>
      </c>
      <c r="D55" s="20">
        <f>((D40)/0.75)/D28</f>
        <v>-0.41298441298441296</v>
      </c>
      <c r="E55" s="20">
        <f>((E40)/0.5)/E28</f>
        <v>-0.5441767068273092</v>
      </c>
      <c r="F55" s="20">
        <f>((F40)/0.25)/F28</f>
        <v>-0.799328295549958</v>
      </c>
      <c r="G55" s="21">
        <f>(G40)/G28</f>
        <v>-1.3780718336483933</v>
      </c>
      <c r="H55" s="22">
        <f>((H40)/0.75)/H28</f>
        <v>-1.7120127287191726</v>
      </c>
      <c r="I55" s="22">
        <f>((I40)/0.5)/I28</f>
        <v>-1.7117117117117118</v>
      </c>
      <c r="J55" s="23">
        <f>((J40)/0.25)/J28</f>
        <v>-2.8225806451612905</v>
      </c>
      <c r="K55" s="21">
        <f>K40/K28</f>
        <v>-1.3393258426966292</v>
      </c>
      <c r="L55" s="27" t="s">
        <v>24</v>
      </c>
    </row>
    <row r="56" spans="1:12" ht="11.25">
      <c r="A56" s="1" t="s">
        <v>50</v>
      </c>
      <c r="B56" s="18"/>
      <c r="C56" s="22">
        <f>(C40)/C27</f>
        <v>-0.07013632856040469</v>
      </c>
      <c r="D56" s="20">
        <f>((D40)/0.75)/D27</f>
        <v>-0.09555004135649296</v>
      </c>
      <c r="E56" s="20">
        <f>((E40)/0.5)/E27</f>
        <v>-0.10746505402993953</v>
      </c>
      <c r="F56" s="20">
        <f>((F40)/0.25)/F27</f>
        <v>-0.09384858044164038</v>
      </c>
      <c r="G56" s="21">
        <f>(G40)/G27</f>
        <v>-0.13872502378686966</v>
      </c>
      <c r="H56" s="22">
        <f>((H40)/0.75)/H27</f>
        <v>-0.19185165373985916</v>
      </c>
      <c r="I56" s="22">
        <f>((I40)/0.5)/I27</f>
        <v>-0.2038079914186109</v>
      </c>
      <c r="J56" s="23">
        <f>((J40)/0.25)/J27</f>
        <v>-0.1855779427359491</v>
      </c>
      <c r="K56" s="21">
        <f>K40/K27</f>
        <v>-0.07596227377007392</v>
      </c>
      <c r="L56" s="27" t="s">
        <v>24</v>
      </c>
    </row>
    <row r="57" spans="1:12" ht="11.25">
      <c r="A57" s="1" t="s">
        <v>51</v>
      </c>
      <c r="B57" s="18"/>
      <c r="C57" s="22">
        <f>(C40)/C31</f>
        <v>-0.0829110075005068</v>
      </c>
      <c r="D57" s="20">
        <f>((D40)/0.75)/D31</f>
        <v>-0.11025846600236704</v>
      </c>
      <c r="E57" s="20">
        <f>((E40)/0.5)/E31</f>
        <v>-0.12069925398062577</v>
      </c>
      <c r="F57" s="20">
        <f>((F40)/0.25)/F31</f>
        <v>-0.10192719486081371</v>
      </c>
      <c r="G57" s="21">
        <f>(G40)/G31</f>
        <v>-0.15300661139678876</v>
      </c>
      <c r="H57" s="22">
        <f>((H40)/0.75)/H31</f>
        <v>-0.22146753113100753</v>
      </c>
      <c r="I57" s="22">
        <f>((I40)/0.5)/I31</f>
        <v>-0.22720478325859492</v>
      </c>
      <c r="J57" s="23">
        <f>((J40)/0.25)/J31</f>
        <v>-0.2012072434607646</v>
      </c>
      <c r="K57" s="21">
        <f>K40/K31</f>
        <v>-0.08085741419074752</v>
      </c>
      <c r="L57" s="27" t="s">
        <v>24</v>
      </c>
    </row>
    <row r="58" spans="1:12" ht="11.25">
      <c r="A58" s="1" t="s">
        <v>52</v>
      </c>
      <c r="B58" s="18"/>
      <c r="C58" s="22">
        <f aca="true" t="shared" si="15" ref="C58:L58">(C33)/C28</f>
        <v>0.3059328091493924</v>
      </c>
      <c r="D58" s="22">
        <f t="shared" si="15"/>
        <v>0.25997425997426</v>
      </c>
      <c r="E58" s="22">
        <f t="shared" si="15"/>
        <v>0.19678714859437751</v>
      </c>
      <c r="F58" s="23">
        <f t="shared" si="15"/>
        <v>0.16624685138539042</v>
      </c>
      <c r="G58" s="22">
        <f t="shared" si="15"/>
        <v>0.5708884688090737</v>
      </c>
      <c r="H58" s="22">
        <f t="shared" si="15"/>
        <v>0.5417661097852029</v>
      </c>
      <c r="I58" s="22">
        <f t="shared" si="15"/>
        <v>0.36036036036036034</v>
      </c>
      <c r="J58" s="23">
        <f t="shared" si="15"/>
        <v>0.31451612903225806</v>
      </c>
      <c r="K58" s="21">
        <f t="shared" si="15"/>
        <v>0.8853932584269663</v>
      </c>
      <c r="L58" s="38" t="e">
        <f t="shared" si="15"/>
        <v>#VALUE!</v>
      </c>
    </row>
    <row r="59" spans="1:12" ht="11.25">
      <c r="A59" s="1" t="s">
        <v>53</v>
      </c>
      <c r="B59" s="18"/>
      <c r="C59" s="22">
        <f aca="true" t="shared" si="16" ref="C59:L59">(C34)/C28</f>
        <v>0.017155110793423873</v>
      </c>
      <c r="D59" s="22">
        <f t="shared" si="16"/>
        <v>0.010296010296010296</v>
      </c>
      <c r="E59" s="22">
        <f t="shared" si="16"/>
        <v>0.004016064257028112</v>
      </c>
      <c r="F59" s="23">
        <f t="shared" si="16"/>
        <v>0.0033585222502099076</v>
      </c>
      <c r="G59" s="22">
        <f t="shared" si="16"/>
        <v>0.001890359168241966</v>
      </c>
      <c r="H59" s="22">
        <f t="shared" si="16"/>
        <v>0.002386634844868735</v>
      </c>
      <c r="I59" s="22">
        <f t="shared" si="16"/>
        <v>0.0022522522522522522</v>
      </c>
      <c r="J59" s="23">
        <f t="shared" si="16"/>
        <v>0</v>
      </c>
      <c r="K59" s="21">
        <f t="shared" si="16"/>
        <v>0.02696629213483146</v>
      </c>
      <c r="L59" s="38" t="e">
        <f t="shared" si="16"/>
        <v>#VALUE!</v>
      </c>
    </row>
    <row r="60" spans="1:12" ht="11.25">
      <c r="A60" s="1" t="s">
        <v>54</v>
      </c>
      <c r="B60" s="18"/>
      <c r="C60" s="22">
        <f aca="true" t="shared" si="17" ref="C60:L60">(C35)/C28</f>
        <v>0.28877769835596856</v>
      </c>
      <c r="D60" s="22">
        <f t="shared" si="17"/>
        <v>0.24967824967824967</v>
      </c>
      <c r="E60" s="22">
        <f t="shared" si="17"/>
        <v>0.1927710843373494</v>
      </c>
      <c r="F60" s="23">
        <f t="shared" si="17"/>
        <v>0.16288832913518053</v>
      </c>
      <c r="G60" s="22">
        <f t="shared" si="17"/>
        <v>0.5689981096408318</v>
      </c>
      <c r="H60" s="22">
        <f t="shared" si="17"/>
        <v>0.5393794749403341</v>
      </c>
      <c r="I60" s="22">
        <f t="shared" si="17"/>
        <v>0.3581081081081081</v>
      </c>
      <c r="J60" s="23">
        <f t="shared" si="17"/>
        <v>0.31451612903225806</v>
      </c>
      <c r="K60" s="21">
        <f t="shared" si="17"/>
        <v>0.8584269662921349</v>
      </c>
      <c r="L60" s="38" t="e">
        <f t="shared" si="17"/>
        <v>#VALUE!</v>
      </c>
    </row>
    <row r="61" spans="1:12" ht="11.25">
      <c r="A61" s="1" t="s">
        <v>55</v>
      </c>
      <c r="B61" s="18"/>
      <c r="C61" s="22">
        <f>(C38)/(C37)</f>
        <v>1.5340393343419063</v>
      </c>
      <c r="D61" s="22">
        <f>(D38/0.75)/(D37/0.75)</f>
        <v>1.6824324324324325</v>
      </c>
      <c r="E61" s="22">
        <f>(E38/0.5)/(E37/0.5)</f>
        <v>1.8962962962962964</v>
      </c>
      <c r="F61" s="23">
        <f>(F38/0.25)/(F37/0.25)</f>
        <v>1.928</v>
      </c>
      <c r="G61" s="22">
        <f>(G38)/(G37)</f>
        <v>2.991228070175439</v>
      </c>
      <c r="H61" s="22">
        <f>((H38)/0.75)/((H37)/0.75)</f>
        <v>2.9800000000000004</v>
      </c>
      <c r="I61" s="22">
        <f>((I38)/0.5)/((I37)/0.5)</f>
        <v>2.964497041420118</v>
      </c>
      <c r="J61" s="23">
        <f>(J38/0.25)/(J37/0.25)</f>
        <v>3.024390243902439</v>
      </c>
      <c r="K61" s="21">
        <f>K38/K37</f>
        <v>1.4236006051437216</v>
      </c>
      <c r="L61" s="23">
        <f>L38/L37</f>
        <v>1.5358166189111748</v>
      </c>
    </row>
    <row r="62" spans="1:12" ht="11.25">
      <c r="A62" s="2" t="s">
        <v>56</v>
      </c>
      <c r="B62" s="2"/>
      <c r="C62" s="28">
        <f aca="true" t="shared" si="18" ref="C62:L62">(C36)/C28</f>
        <v>0.1837026447462473</v>
      </c>
      <c r="D62" s="28">
        <f t="shared" si="18"/>
        <v>0.13127413127413126</v>
      </c>
      <c r="E62" s="28">
        <f t="shared" si="18"/>
        <v>0.0783132530120482</v>
      </c>
      <c r="F62" s="30">
        <f t="shared" si="18"/>
        <v>0.047019311502938706</v>
      </c>
      <c r="G62" s="28">
        <f t="shared" si="18"/>
        <v>0.07750472589792061</v>
      </c>
      <c r="H62" s="28">
        <f t="shared" si="18"/>
        <v>0.057279236276849645</v>
      </c>
      <c r="I62" s="28">
        <f t="shared" si="18"/>
        <v>0.02252252252252252</v>
      </c>
      <c r="J62" s="30">
        <f t="shared" si="18"/>
        <v>0.016129032258064516</v>
      </c>
      <c r="K62" s="29">
        <f t="shared" si="18"/>
        <v>2.1123595505617976</v>
      </c>
      <c r="L62" s="39" t="e">
        <f t="shared" si="18"/>
        <v>#VALUE!</v>
      </c>
    </row>
    <row r="63" spans="1:12" ht="11.25">
      <c r="A63" s="4" t="s">
        <v>57</v>
      </c>
      <c r="B63" s="18"/>
      <c r="G63" s="17"/>
      <c r="H63" s="18"/>
      <c r="I63" s="18"/>
      <c r="J63" s="19"/>
      <c r="K63" s="17"/>
      <c r="L63" s="19"/>
    </row>
    <row r="64" spans="1:12" ht="11.25">
      <c r="A64" s="1" t="s">
        <v>58</v>
      </c>
      <c r="B64" s="18"/>
      <c r="C64" s="8">
        <v>19</v>
      </c>
      <c r="D64" s="8">
        <v>18</v>
      </c>
      <c r="E64" s="8">
        <v>21</v>
      </c>
      <c r="F64" s="8">
        <v>22</v>
      </c>
      <c r="G64" s="9">
        <v>25</v>
      </c>
      <c r="H64" s="10">
        <v>24</v>
      </c>
      <c r="I64" s="10">
        <v>27</v>
      </c>
      <c r="J64" s="11">
        <v>22</v>
      </c>
      <c r="K64" s="9">
        <v>20</v>
      </c>
      <c r="L64" s="11">
        <v>11</v>
      </c>
    </row>
    <row r="65" spans="1:12" ht="11.25">
      <c r="A65" s="1" t="s">
        <v>59</v>
      </c>
      <c r="B65" s="18"/>
      <c r="C65" s="8">
        <v>5</v>
      </c>
      <c r="D65" s="8">
        <v>5</v>
      </c>
      <c r="E65" s="8">
        <v>5</v>
      </c>
      <c r="F65" s="8">
        <v>5</v>
      </c>
      <c r="G65" s="9">
        <v>2</v>
      </c>
      <c r="H65" s="10">
        <v>2</v>
      </c>
      <c r="I65" s="10">
        <v>2</v>
      </c>
      <c r="J65" s="11">
        <v>2</v>
      </c>
      <c r="K65" s="9">
        <v>2</v>
      </c>
      <c r="L65" s="11">
        <v>1</v>
      </c>
    </row>
    <row r="66" spans="1:12" ht="11.25">
      <c r="A66" s="1" t="s">
        <v>60</v>
      </c>
      <c r="B66" s="18"/>
      <c r="C66" s="40">
        <f aca="true" t="shared" si="19" ref="C66:L66">C13/C64</f>
        <v>107.42105263157895</v>
      </c>
      <c r="D66" s="40">
        <f t="shared" si="19"/>
        <v>95.94444444444444</v>
      </c>
      <c r="E66" s="40">
        <f t="shared" si="19"/>
        <v>60.714285714285715</v>
      </c>
      <c r="F66" s="41">
        <f t="shared" si="19"/>
        <v>37.63636363636363</v>
      </c>
      <c r="G66" s="42">
        <f t="shared" si="19"/>
        <v>22.12</v>
      </c>
      <c r="H66" s="43">
        <f t="shared" si="19"/>
        <v>16.5</v>
      </c>
      <c r="I66" s="43">
        <f t="shared" si="19"/>
        <v>13.296296296296296</v>
      </c>
      <c r="J66" s="44">
        <f t="shared" si="19"/>
        <v>16.227272727272727</v>
      </c>
      <c r="K66" s="42">
        <f t="shared" si="19"/>
        <v>14.95</v>
      </c>
      <c r="L66" s="44">
        <f t="shared" si="19"/>
        <v>13</v>
      </c>
    </row>
    <row r="67" spans="1:12" ht="11.25">
      <c r="A67" s="1" t="s">
        <v>61</v>
      </c>
      <c r="B67" s="18"/>
      <c r="C67" s="40">
        <f aca="true" t="shared" si="20" ref="C67:L67">C17/C64</f>
        <v>46</v>
      </c>
      <c r="D67" s="40">
        <f t="shared" si="20"/>
        <v>32.27777777777778</v>
      </c>
      <c r="E67" s="40">
        <f t="shared" si="20"/>
        <v>21.666666666666668</v>
      </c>
      <c r="F67" s="41">
        <f t="shared" si="20"/>
        <v>10.272727272727273</v>
      </c>
      <c r="G67" s="42">
        <f t="shared" si="20"/>
        <v>5.12</v>
      </c>
      <c r="H67" s="43">
        <f t="shared" si="20"/>
        <v>4.333333333333333</v>
      </c>
      <c r="I67" s="43">
        <f t="shared" si="20"/>
        <v>2.5925925925925926</v>
      </c>
      <c r="J67" s="44">
        <f t="shared" si="20"/>
        <v>3.0454545454545454</v>
      </c>
      <c r="K67" s="42">
        <f t="shared" si="20"/>
        <v>2</v>
      </c>
      <c r="L67" s="44">
        <f t="shared" si="20"/>
        <v>0.5454545454545454</v>
      </c>
    </row>
    <row r="68" spans="1:12" ht="11.25">
      <c r="A68" s="2" t="s">
        <v>62</v>
      </c>
      <c r="B68" s="2"/>
      <c r="C68" s="45">
        <f aca="true" t="shared" si="21" ref="C68:L68">C40/C64</f>
        <v>-21.526315789473685</v>
      </c>
      <c r="D68" s="45">
        <f t="shared" si="21"/>
        <v>-20.055555555555557</v>
      </c>
      <c r="E68" s="45">
        <f t="shared" si="21"/>
        <v>-12.904761904761905</v>
      </c>
      <c r="F68" s="46">
        <f t="shared" si="21"/>
        <v>-5.409090909090909</v>
      </c>
      <c r="G68" s="47">
        <f t="shared" si="21"/>
        <v>-29.16</v>
      </c>
      <c r="H68" s="46">
        <f t="shared" si="21"/>
        <v>-22.416666666666668</v>
      </c>
      <c r="I68" s="46">
        <f t="shared" si="21"/>
        <v>-14.074074074074074</v>
      </c>
      <c r="J68" s="48">
        <f t="shared" si="21"/>
        <v>-7.954545454545454</v>
      </c>
      <c r="K68" s="47">
        <f t="shared" si="21"/>
        <v>-14.9</v>
      </c>
      <c r="L68" s="48">
        <f t="shared" si="21"/>
        <v>-17.90909090909091</v>
      </c>
    </row>
    <row r="69" spans="1:12" ht="11.25">
      <c r="A69" s="4" t="s">
        <v>63</v>
      </c>
      <c r="B69" s="18"/>
      <c r="G69" s="17"/>
      <c r="H69" s="18"/>
      <c r="I69" s="18"/>
      <c r="J69" s="19"/>
      <c r="K69" s="17"/>
      <c r="L69" s="19"/>
    </row>
    <row r="70" spans="1:12" ht="11.25">
      <c r="A70" s="1" t="s">
        <v>64</v>
      </c>
      <c r="B70" s="18"/>
      <c r="C70" s="20">
        <f>(C11-G11)/G11</f>
        <v>0.07489770503469134</v>
      </c>
      <c r="D70" s="20">
        <f>(D11-H11)/H11</f>
        <v>0.35122520420070014</v>
      </c>
      <c r="E70" s="20">
        <f>(E11-I11)/I11</f>
        <v>0.2898978433598184</v>
      </c>
      <c r="F70" s="20">
        <f>(F11-J11)/J11</f>
        <v>0.19900281812269674</v>
      </c>
      <c r="G70" s="21">
        <f>(G11-K11)/K11</f>
        <v>0.14972386991204745</v>
      </c>
      <c r="H70" s="22">
        <f>(H11-3194)/3194</f>
        <v>0.34157795867251095</v>
      </c>
      <c r="I70" s="22">
        <f>(I11-3055)/3055</f>
        <v>0.44189852700491</v>
      </c>
      <c r="J70" s="27">
        <f>(J11-2929)/2929</f>
        <v>0.5749402526459543</v>
      </c>
      <c r="K70" s="21">
        <f>(K11-L11)/L11</f>
        <v>0.6533648968549205</v>
      </c>
      <c r="L70" s="27" t="s">
        <v>24</v>
      </c>
    </row>
    <row r="71" spans="1:12" ht="11.25">
      <c r="A71" s="1" t="s">
        <v>65</v>
      </c>
      <c r="B71" s="18"/>
      <c r="C71" s="20">
        <f aca="true" t="shared" si="22" ref="C71:G72">(C13-G13)/G13</f>
        <v>2.690777576853526</v>
      </c>
      <c r="D71" s="20">
        <f t="shared" si="22"/>
        <v>3.361111111111111</v>
      </c>
      <c r="E71" s="20">
        <f t="shared" si="22"/>
        <v>2.551532033426184</v>
      </c>
      <c r="F71" s="20">
        <f t="shared" si="22"/>
        <v>1.319327731092437</v>
      </c>
      <c r="G71" s="21">
        <f t="shared" si="22"/>
        <v>0.8494983277591973</v>
      </c>
      <c r="H71" s="22">
        <f>H13/239-1</f>
        <v>0.6569037656903767</v>
      </c>
      <c r="I71" s="22">
        <f>I13/176-1</f>
        <v>1.039772727272727</v>
      </c>
      <c r="J71" s="23">
        <f>J13/136-1</f>
        <v>1.625</v>
      </c>
      <c r="K71" s="21">
        <f>(K13-L13)/L13</f>
        <v>1.0909090909090908</v>
      </c>
      <c r="L71" s="27" t="s">
        <v>24</v>
      </c>
    </row>
    <row r="72" spans="2:12" ht="11.25">
      <c r="B72" s="18" t="s">
        <v>15</v>
      </c>
      <c r="C72" s="20">
        <f t="shared" si="22"/>
        <v>2.690777576853526</v>
      </c>
      <c r="D72" s="20">
        <f t="shared" si="22"/>
        <v>3.361111111111111</v>
      </c>
      <c r="E72" s="20">
        <f t="shared" si="22"/>
        <v>2.551532033426184</v>
      </c>
      <c r="F72" s="20">
        <f t="shared" si="22"/>
        <v>1.319327731092437</v>
      </c>
      <c r="G72" s="21">
        <f t="shared" si="22"/>
        <v>0.8494983277591973</v>
      </c>
      <c r="H72" s="22">
        <f>H14/239-1</f>
        <v>0.6569037656903767</v>
      </c>
      <c r="I72" s="22">
        <f>I14/176-1</f>
        <v>1.039772727272727</v>
      </c>
      <c r="J72" s="23">
        <f>J14/136-1</f>
        <v>1.625</v>
      </c>
      <c r="K72" s="21">
        <f>(K14-L14)/L14</f>
        <v>1.0909090909090908</v>
      </c>
      <c r="L72" s="27" t="s">
        <v>24</v>
      </c>
    </row>
    <row r="73" spans="2:12" ht="11.25">
      <c r="B73" s="18" t="s">
        <v>16</v>
      </c>
      <c r="C73" s="22">
        <v>0</v>
      </c>
      <c r="D73" s="20">
        <v>0</v>
      </c>
      <c r="E73" s="20">
        <v>0</v>
      </c>
      <c r="F73" s="20">
        <v>0</v>
      </c>
      <c r="G73" s="21">
        <v>0</v>
      </c>
      <c r="H73" s="22">
        <v>0</v>
      </c>
      <c r="I73" s="22">
        <v>0</v>
      </c>
      <c r="J73" s="23">
        <v>0</v>
      </c>
      <c r="K73" s="21">
        <v>0</v>
      </c>
      <c r="L73" s="27" t="s">
        <v>24</v>
      </c>
    </row>
    <row r="74" spans="1:12" ht="11.25">
      <c r="A74" s="1" t="s">
        <v>66</v>
      </c>
      <c r="B74" s="18"/>
      <c r="C74" s="20">
        <f aca="true" t="shared" si="23" ref="C74:G75">(C17-G17)/G17</f>
        <v>5.828125</v>
      </c>
      <c r="D74" s="20">
        <f t="shared" si="23"/>
        <v>4.586538461538462</v>
      </c>
      <c r="E74" s="20">
        <f t="shared" si="23"/>
        <v>5.5</v>
      </c>
      <c r="F74" s="20">
        <f t="shared" si="23"/>
        <v>2.373134328358209</v>
      </c>
      <c r="G74" s="21">
        <f t="shared" si="23"/>
        <v>2.2</v>
      </c>
      <c r="H74" s="22">
        <f>H17/36-1</f>
        <v>1.8888888888888888</v>
      </c>
      <c r="I74" s="22">
        <f>I17/24-1</f>
        <v>1.9166666666666665</v>
      </c>
      <c r="J74" s="23">
        <f>J17/8-1</f>
        <v>7.375</v>
      </c>
      <c r="K74" s="21">
        <f>(K17-L17)/L17</f>
        <v>5.666666666666667</v>
      </c>
      <c r="L74" s="27" t="s">
        <v>24</v>
      </c>
    </row>
    <row r="75" spans="2:12" ht="11.25">
      <c r="B75" s="18" t="s">
        <v>15</v>
      </c>
      <c r="C75" s="20">
        <f t="shared" si="23"/>
        <v>5.828125</v>
      </c>
      <c r="D75" s="20">
        <f t="shared" si="23"/>
        <v>4.586538461538462</v>
      </c>
      <c r="E75" s="20">
        <f t="shared" si="23"/>
        <v>5.5</v>
      </c>
      <c r="F75" s="20">
        <f t="shared" si="23"/>
        <v>2.373134328358209</v>
      </c>
      <c r="G75" s="21">
        <f t="shared" si="23"/>
        <v>2.2</v>
      </c>
      <c r="H75" s="22">
        <f>H18/36-1</f>
        <v>1.8888888888888888</v>
      </c>
      <c r="I75" s="22">
        <f>I18/24-1</f>
        <v>1.9166666666666665</v>
      </c>
      <c r="J75" s="23">
        <f>J18/8-1</f>
        <v>7.375</v>
      </c>
      <c r="K75" s="21">
        <f>(K18-L18)/L18</f>
        <v>5.666666666666667</v>
      </c>
      <c r="L75" s="27" t="s">
        <v>24</v>
      </c>
    </row>
    <row r="76" spans="2:12" ht="11.25">
      <c r="B76" s="18" t="s">
        <v>16</v>
      </c>
      <c r="C76" s="20">
        <v>0</v>
      </c>
      <c r="D76" s="20">
        <v>0</v>
      </c>
      <c r="E76" s="20">
        <v>0</v>
      </c>
      <c r="F76" s="20">
        <v>0</v>
      </c>
      <c r="G76" s="21">
        <v>0</v>
      </c>
      <c r="H76" s="22">
        <v>0</v>
      </c>
      <c r="I76" s="22">
        <v>0</v>
      </c>
      <c r="J76" s="23">
        <v>0</v>
      </c>
      <c r="K76" s="21">
        <v>0</v>
      </c>
      <c r="L76" s="27" t="s">
        <v>24</v>
      </c>
    </row>
    <row r="77" spans="1:12" ht="11.25">
      <c r="A77" s="1" t="s">
        <v>67</v>
      </c>
      <c r="B77" s="18"/>
      <c r="C77" s="20">
        <f>C25/G25-1</f>
        <v>-0.010887096774193528</v>
      </c>
      <c r="D77" s="20">
        <f>D25/H25-1</f>
        <v>0.26720332381199685</v>
      </c>
      <c r="E77" s="20">
        <f>E25/I25-1</f>
        <v>0.23853439680957123</v>
      </c>
      <c r="F77" s="20">
        <f>(F25-J25)/J25</f>
        <v>0.21431958274063537</v>
      </c>
      <c r="G77" s="21">
        <f>(G25-K25)/K25</f>
        <v>0.08557671262858393</v>
      </c>
      <c r="H77" s="22">
        <f>(H25-2627)/2627</f>
        <v>0.4659307194518462</v>
      </c>
      <c r="I77" s="22">
        <f>(I25-2678)/2678</f>
        <v>0.4981329350261389</v>
      </c>
      <c r="J77" s="23">
        <f>(J25-2741)/2741</f>
        <v>0.5388544326887997</v>
      </c>
      <c r="K77" s="21">
        <f>(K25-L25)/L25</f>
        <v>0.6306209850107066</v>
      </c>
      <c r="L77" s="27" t="s">
        <v>24</v>
      </c>
    </row>
    <row r="78" spans="1:12" ht="11.25">
      <c r="A78" s="2" t="s">
        <v>68</v>
      </c>
      <c r="B78" s="2"/>
      <c r="C78" s="28">
        <f>(C40-G40)/G40</f>
        <v>-0.438957475994513</v>
      </c>
      <c r="D78" s="28">
        <f>(D40-H40)/H40</f>
        <v>-0.32899628252788105</v>
      </c>
      <c r="E78" s="28">
        <f>(E40-I40)/I40</f>
        <v>-0.2868421052631579</v>
      </c>
      <c r="F78" s="28">
        <f>F40/J40-1</f>
        <v>-0.31999999999999995</v>
      </c>
      <c r="G78" s="29">
        <f>G40/K40-1</f>
        <v>1.4463087248322148</v>
      </c>
      <c r="H78" s="28">
        <f>-H40/-197-1</f>
        <v>-3.730964467005076</v>
      </c>
      <c r="I78" s="28">
        <f>I40/-133-1</f>
        <v>1.8571428571428572</v>
      </c>
      <c r="J78" s="30">
        <f>J40/-70-1</f>
        <v>1.5</v>
      </c>
      <c r="K78" s="29">
        <f>(K40-L40)/L40</f>
        <v>0.5126903553299492</v>
      </c>
      <c r="L78" s="49" t="s">
        <v>24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698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2002-03-19T15:04:27Z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