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Mercantil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<sst xmlns="http://schemas.openxmlformats.org/spreadsheetml/2006/main" count="84" uniqueCount="68">
  <si>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18-6</t>
  </si>
  <si>
    <t>BANCO MERCANTIL DEL ISTMO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</si>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</sst>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43" fontId="2" fillId="0" borderId="0" xfId="15" applyFont="1" applyAlignment="1">
      <alignment/>
    </xf>
    <xf numFmtId="177" fontId="2" fillId="0" borderId="0" xfId="0" applyNumberFormat="1" applyFont="1" applyAlignment="1">
      <alignment/>
    </xf>
    <xf numFmtId="177" fontId="2" fillId="0" borderId="3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43" fontId="2" fillId="0" borderId="1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2" sqref="B22"/>
    </sheetView>
  </sheetViews>
  <sheetFormatPr defaultColWidth="11.421875" defaultRowHeight="12.75"/>
  <cols>
    <col min="1" max="1" width="3.57421875" style="1" customWidth="1"/>
    <col min="2" max="2" width="37.57421875" style="1" customWidth="1"/>
    <col min="3" max="3" width="9.00390625" style="1" customWidth="1"/>
    <col min="4" max="4" width="9.7109375" style="1" customWidth="1"/>
    <col min="5" max="5" width="8.140625" style="1" bestFit="1" customWidth="1"/>
    <col min="6" max="6" width="7.8515625" style="1" bestFit="1" customWidth="1"/>
    <col min="7" max="7" width="8.57421875" style="1" customWidth="1"/>
    <col min="8" max="8" width="9.57421875" style="1" customWidth="1"/>
    <col min="9" max="11" width="7.8515625" style="1" bestFit="1" customWidth="1"/>
    <col min="12" max="12" width="6.421875" style="1" hidden="1" customWidth="1"/>
    <col min="13" max="13" width="9.140625" style="1" customWidth="1"/>
    <col min="14" max="16384" width="11.421875" style="1" customWidth="1"/>
  </cols>
  <sheetData>
    <row r="1" ht="11.25"/>
    <row r="2" spans="2:12" ht="11.25">
      <c r="B2" s="44"/>
      <c r="C2" s="44"/>
      <c r="D2" s="44"/>
      <c r="E2" s="44"/>
      <c r="F2" s="44" t="s">
        <v>0</v>
      </c>
      <c r="H2" s="44"/>
      <c r="I2" s="44"/>
      <c r="J2" s="44"/>
      <c r="K2" s="44"/>
      <c r="L2" s="44"/>
    </row>
    <row r="3" spans="2:12" ht="11.25">
      <c r="B3" s="44"/>
      <c r="C3" s="44"/>
      <c r="D3" s="44"/>
      <c r="E3" s="44"/>
      <c r="F3" s="44" t="s">
        <v>1</v>
      </c>
      <c r="H3" s="44"/>
      <c r="I3" s="44"/>
      <c r="J3" s="44"/>
      <c r="K3" s="44"/>
      <c r="L3" s="44"/>
    </row>
    <row r="4" spans="2:12" ht="11.25">
      <c r="B4" s="44"/>
      <c r="C4" s="44"/>
      <c r="D4" s="44"/>
      <c r="E4" s="44"/>
      <c r="F4" s="44" t="s">
        <v>2</v>
      </c>
      <c r="H4" s="44"/>
      <c r="I4" s="44"/>
      <c r="J4" s="44"/>
      <c r="K4" s="44"/>
      <c r="L4" s="44"/>
    </row>
    <row r="5" spans="2:12" ht="11.25">
      <c r="B5" s="43"/>
      <c r="C5" s="43"/>
      <c r="D5" s="43"/>
      <c r="E5" s="43"/>
      <c r="F5" s="43" t="s">
        <v>3</v>
      </c>
      <c r="H5" s="43"/>
      <c r="I5" s="43"/>
      <c r="J5" s="43"/>
      <c r="K5" s="43"/>
      <c r="L5" s="43"/>
    </row>
    <row r="6" spans="1:12" ht="11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1">
        <v>2001</v>
      </c>
      <c r="D8" s="51"/>
      <c r="E8" s="51"/>
      <c r="F8" s="52"/>
      <c r="G8" s="50">
        <v>2000</v>
      </c>
      <c r="H8" s="51"/>
      <c r="I8" s="51"/>
      <c r="J8" s="52"/>
      <c r="K8" s="50" t="s">
        <v>4</v>
      </c>
      <c r="L8" s="52"/>
    </row>
    <row r="9" spans="1:12" s="4" customFormat="1" ht="11.25">
      <c r="A9" s="45"/>
      <c r="B9" s="45"/>
      <c r="C9" s="45" t="s">
        <v>5</v>
      </c>
      <c r="D9" s="45" t="s">
        <v>6</v>
      </c>
      <c r="E9" s="45" t="s">
        <v>7</v>
      </c>
      <c r="F9" s="45" t="s">
        <v>8</v>
      </c>
      <c r="G9" s="46" t="s">
        <v>5</v>
      </c>
      <c r="H9" s="45" t="s">
        <v>6</v>
      </c>
      <c r="I9" s="45" t="s">
        <v>7</v>
      </c>
      <c r="J9" s="47" t="s">
        <v>8</v>
      </c>
      <c r="K9" s="48" t="s">
        <v>9</v>
      </c>
      <c r="L9" s="49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410787</v>
      </c>
      <c r="D11" s="8">
        <v>395295</v>
      </c>
      <c r="E11" s="8">
        <v>332269</v>
      </c>
      <c r="F11" s="8">
        <v>315693</v>
      </c>
      <c r="G11" s="9">
        <v>364479</v>
      </c>
      <c r="H11" s="10">
        <v>314861</v>
      </c>
      <c r="I11" s="10">
        <v>333891</v>
      </c>
      <c r="J11" s="11">
        <v>335492</v>
      </c>
      <c r="K11" s="9">
        <v>355603</v>
      </c>
      <c r="L11" s="11">
        <v>339886</v>
      </c>
    </row>
    <row r="12" spans="1:12" ht="11.25">
      <c r="A12" s="1" t="s">
        <v>13</v>
      </c>
      <c r="C12" s="8">
        <v>64325</v>
      </c>
      <c r="D12" s="8">
        <v>31193</v>
      </c>
      <c r="E12" s="8">
        <v>22425</v>
      </c>
      <c r="F12" s="8">
        <v>24400</v>
      </c>
      <c r="G12" s="9">
        <v>57521</v>
      </c>
      <c r="H12" s="10">
        <v>23448</v>
      </c>
      <c r="I12" s="10">
        <v>46438</v>
      </c>
      <c r="J12" s="11">
        <v>61818</v>
      </c>
      <c r="K12" s="9">
        <v>75138</v>
      </c>
      <c r="L12" s="11">
        <v>93946</v>
      </c>
    </row>
    <row r="13" spans="1:12" ht="11.25">
      <c r="A13" s="1" t="s">
        <v>14</v>
      </c>
      <c r="C13" s="8">
        <f aca="true" t="shared" si="0" ref="C13:L13">C14+C15</f>
        <v>313003</v>
      </c>
      <c r="D13" s="8">
        <f t="shared" si="0"/>
        <v>325592</v>
      </c>
      <c r="E13" s="8">
        <f t="shared" si="0"/>
        <v>281667</v>
      </c>
      <c r="F13" s="8">
        <f t="shared" si="0"/>
        <v>266107</v>
      </c>
      <c r="G13" s="9">
        <f t="shared" si="0"/>
        <v>281735</v>
      </c>
      <c r="H13" s="10">
        <f t="shared" si="0"/>
        <v>262893</v>
      </c>
      <c r="I13" s="10">
        <f t="shared" si="0"/>
        <v>257368</v>
      </c>
      <c r="J13" s="11">
        <f t="shared" si="0"/>
        <v>245187</v>
      </c>
      <c r="K13" s="9">
        <f t="shared" si="0"/>
        <v>254971</v>
      </c>
      <c r="L13" s="11">
        <f t="shared" si="0"/>
        <v>220142</v>
      </c>
    </row>
    <row r="14" spans="2:12" ht="11.25">
      <c r="B14" s="1" t="s">
        <v>15</v>
      </c>
      <c r="C14" s="8">
        <v>247988</v>
      </c>
      <c r="D14" s="8">
        <v>268173</v>
      </c>
      <c r="E14" s="8">
        <v>236432</v>
      </c>
      <c r="F14" s="8">
        <v>220086</v>
      </c>
      <c r="G14" s="9">
        <v>233323</v>
      </c>
      <c r="H14" s="10">
        <v>219210</v>
      </c>
      <c r="I14" s="10">
        <v>215356</v>
      </c>
      <c r="J14" s="11">
        <v>209189</v>
      </c>
      <c r="K14" s="9">
        <v>216758</v>
      </c>
      <c r="L14" s="11">
        <v>200459</v>
      </c>
    </row>
    <row r="15" spans="2:12" ht="11.25">
      <c r="B15" s="1" t="s">
        <v>16</v>
      </c>
      <c r="C15" s="8">
        <v>65015</v>
      </c>
      <c r="D15" s="8">
        <v>57419</v>
      </c>
      <c r="E15" s="8">
        <v>45235</v>
      </c>
      <c r="F15" s="8">
        <v>46021</v>
      </c>
      <c r="G15" s="9">
        <v>48412</v>
      </c>
      <c r="H15" s="10">
        <v>43683</v>
      </c>
      <c r="I15" s="10">
        <v>42012</v>
      </c>
      <c r="J15" s="11">
        <v>35998</v>
      </c>
      <c r="K15" s="9">
        <v>38213</v>
      </c>
      <c r="L15" s="11">
        <v>19683</v>
      </c>
    </row>
    <row r="16" spans="1:12" ht="11.25">
      <c r="A16" s="1" t="s">
        <v>17</v>
      </c>
      <c r="C16" s="8">
        <v>13199</v>
      </c>
      <c r="D16" s="8">
        <v>12398</v>
      </c>
      <c r="E16" s="8">
        <v>13565</v>
      </c>
      <c r="F16" s="8">
        <v>9938</v>
      </c>
      <c r="G16" s="9">
        <v>9938</v>
      </c>
      <c r="H16" s="10">
        <v>9098</v>
      </c>
      <c r="I16" s="10">
        <v>9099</v>
      </c>
      <c r="J16" s="11">
        <v>10098</v>
      </c>
      <c r="K16" s="9">
        <v>10118</v>
      </c>
      <c r="L16" s="11">
        <v>11348</v>
      </c>
    </row>
    <row r="17" spans="1:12" ht="11.25">
      <c r="A17" s="1" t="s">
        <v>18</v>
      </c>
      <c r="C17" s="8">
        <f aca="true" t="shared" si="1" ref="C17:L17">C18+C22</f>
        <v>346872</v>
      </c>
      <c r="D17" s="8">
        <f t="shared" si="1"/>
        <v>309454</v>
      </c>
      <c r="E17" s="8">
        <f t="shared" si="1"/>
        <v>271763</v>
      </c>
      <c r="F17" s="8">
        <f t="shared" si="1"/>
        <v>258650</v>
      </c>
      <c r="G17" s="9">
        <f t="shared" si="1"/>
        <v>306633</v>
      </c>
      <c r="H17" s="10">
        <f t="shared" si="1"/>
        <v>252983</v>
      </c>
      <c r="I17" s="10">
        <f t="shared" si="1"/>
        <v>275553</v>
      </c>
      <c r="J17" s="11">
        <f t="shared" si="1"/>
        <v>277740</v>
      </c>
      <c r="K17" s="9">
        <f t="shared" si="1"/>
        <v>306571</v>
      </c>
      <c r="L17" s="11">
        <f t="shared" si="1"/>
        <v>292237</v>
      </c>
    </row>
    <row r="18" spans="2:12" ht="11.25">
      <c r="B18" s="1" t="s">
        <v>15</v>
      </c>
      <c r="C18" s="8">
        <f aca="true" t="shared" si="2" ref="C18:L18">SUM(C19:C21)</f>
        <v>205654</v>
      </c>
      <c r="D18" s="8">
        <f t="shared" si="2"/>
        <v>179502</v>
      </c>
      <c r="E18" s="8">
        <f t="shared" si="2"/>
        <v>183598</v>
      </c>
      <c r="F18" s="8">
        <f t="shared" si="2"/>
        <v>173080</v>
      </c>
      <c r="G18" s="9">
        <f t="shared" si="2"/>
        <v>220190</v>
      </c>
      <c r="H18" s="10">
        <f t="shared" si="2"/>
        <v>169770</v>
      </c>
      <c r="I18" s="10">
        <f t="shared" si="2"/>
        <v>181059</v>
      </c>
      <c r="J18" s="11">
        <f t="shared" si="2"/>
        <v>178846</v>
      </c>
      <c r="K18" s="9">
        <f t="shared" si="2"/>
        <v>206834</v>
      </c>
      <c r="L18" s="11">
        <f t="shared" si="2"/>
        <v>189165</v>
      </c>
    </row>
    <row r="19" spans="2:12" ht="11.25">
      <c r="B19" s="1" t="s">
        <v>19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1">
        <v>0</v>
      </c>
    </row>
    <row r="20" spans="2:12" ht="11.25">
      <c r="B20" s="1" t="s">
        <v>20</v>
      </c>
      <c r="C20" s="8">
        <v>149732</v>
      </c>
      <c r="D20" s="8">
        <v>157357</v>
      </c>
      <c r="E20" s="8">
        <v>117676</v>
      </c>
      <c r="F20" s="8">
        <v>117016</v>
      </c>
      <c r="G20" s="9">
        <v>125291</v>
      </c>
      <c r="H20" s="10">
        <v>120231</v>
      </c>
      <c r="I20" s="10">
        <v>119562</v>
      </c>
      <c r="J20" s="11">
        <v>117080</v>
      </c>
      <c r="K20" s="9">
        <v>121259</v>
      </c>
      <c r="L20" s="11">
        <v>111795</v>
      </c>
    </row>
    <row r="21" spans="2:12" ht="11.25">
      <c r="B21" s="1" t="s">
        <v>21</v>
      </c>
      <c r="C21" s="8">
        <v>55922</v>
      </c>
      <c r="D21" s="8">
        <v>22145</v>
      </c>
      <c r="E21" s="8">
        <v>65922</v>
      </c>
      <c r="F21" s="8">
        <v>56064</v>
      </c>
      <c r="G21" s="9">
        <v>94899</v>
      </c>
      <c r="H21" s="10">
        <v>49539</v>
      </c>
      <c r="I21" s="10">
        <v>61497</v>
      </c>
      <c r="J21" s="11">
        <v>61766</v>
      </c>
      <c r="K21" s="9">
        <v>85575</v>
      </c>
      <c r="L21" s="11">
        <v>77370</v>
      </c>
    </row>
    <row r="22" spans="2:12" ht="11.25">
      <c r="B22" s="1" t="s">
        <v>16</v>
      </c>
      <c r="C22" s="8">
        <f aca="true" t="shared" si="3" ref="C22:L22">SUM(C23:C24)</f>
        <v>141218</v>
      </c>
      <c r="D22" s="8">
        <f t="shared" si="3"/>
        <v>129952</v>
      </c>
      <c r="E22" s="8">
        <f t="shared" si="3"/>
        <v>88165</v>
      </c>
      <c r="F22" s="8">
        <f t="shared" si="3"/>
        <v>85570</v>
      </c>
      <c r="G22" s="9">
        <f t="shared" si="3"/>
        <v>86443</v>
      </c>
      <c r="H22" s="10">
        <f t="shared" si="3"/>
        <v>83213</v>
      </c>
      <c r="I22" s="10">
        <f t="shared" si="3"/>
        <v>94494</v>
      </c>
      <c r="J22" s="11">
        <f t="shared" si="3"/>
        <v>98894</v>
      </c>
      <c r="K22" s="9">
        <f t="shared" si="3"/>
        <v>99737</v>
      </c>
      <c r="L22" s="11">
        <f t="shared" si="3"/>
        <v>103072</v>
      </c>
    </row>
    <row r="23" spans="2:12" ht="11.25">
      <c r="B23" s="1" t="s">
        <v>20</v>
      </c>
      <c r="C23" s="8">
        <v>109393</v>
      </c>
      <c r="D23" s="8">
        <v>113854</v>
      </c>
      <c r="E23" s="8">
        <v>64437</v>
      </c>
      <c r="F23" s="8">
        <v>61554</v>
      </c>
      <c r="G23" s="9">
        <v>64157</v>
      </c>
      <c r="H23" s="10">
        <v>64082</v>
      </c>
      <c r="I23" s="10">
        <v>74486</v>
      </c>
      <c r="J23" s="11">
        <v>79734</v>
      </c>
      <c r="K23" s="9">
        <v>79423</v>
      </c>
      <c r="L23" s="11">
        <v>74331</v>
      </c>
    </row>
    <row r="24" spans="2:12" ht="11.25">
      <c r="B24" s="1" t="s">
        <v>21</v>
      </c>
      <c r="C24" s="8">
        <v>31825</v>
      </c>
      <c r="D24" s="8">
        <v>16098</v>
      </c>
      <c r="E24" s="8">
        <v>23728</v>
      </c>
      <c r="F24" s="8">
        <v>24016</v>
      </c>
      <c r="G24" s="9">
        <v>22286</v>
      </c>
      <c r="H24" s="10">
        <v>19131</v>
      </c>
      <c r="I24" s="10">
        <v>20008</v>
      </c>
      <c r="J24" s="11">
        <v>19160</v>
      </c>
      <c r="K24" s="9">
        <v>20314</v>
      </c>
      <c r="L24" s="11">
        <v>28741</v>
      </c>
    </row>
    <row r="25" spans="1:12" ht="11.25">
      <c r="A25" s="2" t="s">
        <v>22</v>
      </c>
      <c r="B25" s="2"/>
      <c r="C25" s="12">
        <v>41802</v>
      </c>
      <c r="D25" s="12">
        <v>40533</v>
      </c>
      <c r="E25" s="12">
        <v>38129</v>
      </c>
      <c r="F25" s="12">
        <v>35854</v>
      </c>
      <c r="G25" s="13">
        <v>34528</v>
      </c>
      <c r="H25" s="12">
        <v>35682</v>
      </c>
      <c r="I25" s="12">
        <v>34203</v>
      </c>
      <c r="J25" s="14">
        <v>33163</v>
      </c>
      <c r="K25" s="13">
        <v>28817</v>
      </c>
      <c r="L25" s="14">
        <v>28006</v>
      </c>
    </row>
    <row r="26" spans="1:12" ht="11.25">
      <c r="A26" s="4" t="s">
        <v>23</v>
      </c>
      <c r="C26" s="8"/>
      <c r="D26" s="8"/>
      <c r="E26" s="8"/>
      <c r="F26" s="8"/>
      <c r="G26" s="9"/>
      <c r="H26" s="10"/>
      <c r="I26" s="10"/>
      <c r="J26" s="11"/>
      <c r="K26" s="9"/>
      <c r="L26" s="11"/>
    </row>
    <row r="27" spans="1:12" ht="11.25">
      <c r="A27" s="1" t="s">
        <v>12</v>
      </c>
      <c r="C27" s="8">
        <f>(C11+G11)/2</f>
        <v>387633</v>
      </c>
      <c r="D27" s="8">
        <f>(D11+H11)/2</f>
        <v>355078</v>
      </c>
      <c r="E27" s="8">
        <f>(E11+I11)/2</f>
        <v>333080</v>
      </c>
      <c r="F27" s="8">
        <f>+(F11+J11)/2</f>
        <v>325592.5</v>
      </c>
      <c r="G27" s="9">
        <f>+(G11+K11)/2</f>
        <v>360041</v>
      </c>
      <c r="H27" s="10">
        <v>311318</v>
      </c>
      <c r="I27" s="10">
        <v>326808</v>
      </c>
      <c r="J27" s="11">
        <v>318677</v>
      </c>
      <c r="K27" s="9">
        <f>(K11+L11)/2</f>
        <v>347744.5</v>
      </c>
      <c r="L27" s="11">
        <f>(L11+230053)/2</f>
        <v>284969.5</v>
      </c>
    </row>
    <row r="28" spans="1:12" ht="11.25">
      <c r="A28" s="1" t="s">
        <v>24</v>
      </c>
      <c r="C28" s="8">
        <f aca="true" t="shared" si="4" ref="C28:L28">C29+C30</f>
        <v>308937.5</v>
      </c>
      <c r="D28" s="8">
        <f t="shared" si="4"/>
        <v>304990.5</v>
      </c>
      <c r="E28" s="8">
        <f t="shared" si="4"/>
        <v>280849.5</v>
      </c>
      <c r="F28" s="8">
        <f t="shared" si="4"/>
        <v>265665</v>
      </c>
      <c r="G28" s="9">
        <f t="shared" si="4"/>
        <v>278381</v>
      </c>
      <c r="H28" s="10">
        <f t="shared" si="4"/>
        <v>268548</v>
      </c>
      <c r="I28" s="10">
        <f t="shared" si="4"/>
        <v>264875</v>
      </c>
      <c r="J28" s="11">
        <f t="shared" si="4"/>
        <v>252661</v>
      </c>
      <c r="K28" s="9">
        <f t="shared" si="4"/>
        <v>248289.5</v>
      </c>
      <c r="L28" s="11">
        <f t="shared" si="4"/>
        <v>195118.5</v>
      </c>
    </row>
    <row r="29" spans="2:12" ht="11.25">
      <c r="B29" s="1" t="s">
        <v>14</v>
      </c>
      <c r="C29" s="8">
        <f>(C13+G13)/2</f>
        <v>297369</v>
      </c>
      <c r="D29" s="8">
        <f>(D13+H13)/2</f>
        <v>294242.5</v>
      </c>
      <c r="E29" s="8">
        <f>(E13+I13)/2</f>
        <v>269517.5</v>
      </c>
      <c r="F29" s="8">
        <f>+(F13+J13)/2</f>
        <v>255647</v>
      </c>
      <c r="G29" s="9">
        <f>+(G13+K13)/2</f>
        <v>268353</v>
      </c>
      <c r="H29" s="10">
        <v>260050</v>
      </c>
      <c r="I29" s="10">
        <v>256377</v>
      </c>
      <c r="J29" s="11">
        <v>243663</v>
      </c>
      <c r="K29" s="9">
        <f>(K13+L13)/2</f>
        <v>237556.5</v>
      </c>
      <c r="L29" s="11">
        <f>(L13+150079)/2</f>
        <v>185110.5</v>
      </c>
    </row>
    <row r="30" spans="2:12" ht="11.25">
      <c r="B30" s="1" t="s">
        <v>17</v>
      </c>
      <c r="C30" s="8">
        <f>(C16+G16)/2</f>
        <v>11568.5</v>
      </c>
      <c r="D30" s="8">
        <f>(D16+H16)/2</f>
        <v>10748</v>
      </c>
      <c r="E30" s="8">
        <f>(E16+I16)/2</f>
        <v>11332</v>
      </c>
      <c r="F30" s="8">
        <f>+(F16+J16)/2</f>
        <v>10018</v>
      </c>
      <c r="G30" s="9">
        <f>+(G16+K16)/2</f>
        <v>10028</v>
      </c>
      <c r="H30" s="10">
        <v>8498</v>
      </c>
      <c r="I30" s="10">
        <v>8498</v>
      </c>
      <c r="J30" s="11">
        <v>8998</v>
      </c>
      <c r="K30" s="9">
        <f>(K16+L16)/2</f>
        <v>10733</v>
      </c>
      <c r="L30" s="11">
        <f>(L16+8668)/2</f>
        <v>10008</v>
      </c>
    </row>
    <row r="31" spans="1:12" ht="11.25">
      <c r="A31" s="2" t="s">
        <v>22</v>
      </c>
      <c r="B31" s="2"/>
      <c r="C31" s="12">
        <f>(C25+G25)/2</f>
        <v>38165</v>
      </c>
      <c r="D31" s="12">
        <f>(D25+H25)/2</f>
        <v>38107.5</v>
      </c>
      <c r="E31" s="12">
        <f>(E25+I25)/2</f>
        <v>36166</v>
      </c>
      <c r="F31" s="12">
        <f>+(F25+J25)/2</f>
        <v>34508.5</v>
      </c>
      <c r="G31" s="13">
        <f>+(G25+K25)/2</f>
        <v>31672.5</v>
      </c>
      <c r="H31" s="12">
        <v>33462</v>
      </c>
      <c r="I31" s="12">
        <v>32254</v>
      </c>
      <c r="J31" s="14">
        <v>31226</v>
      </c>
      <c r="K31" s="13">
        <f>(K25+L25)/2</f>
        <v>28411.5</v>
      </c>
      <c r="L31" s="14">
        <f>(L25+22738)/2</f>
        <v>25372</v>
      </c>
    </row>
    <row r="32" spans="1:12" ht="11.25">
      <c r="A32" s="4" t="s">
        <v>25</v>
      </c>
      <c r="C32" s="8"/>
      <c r="D32" s="8"/>
      <c r="E32" s="8"/>
      <c r="F32" s="8"/>
      <c r="G32" s="15"/>
      <c r="H32" s="16"/>
      <c r="I32" s="16"/>
      <c r="J32" s="17"/>
      <c r="K32" s="15"/>
      <c r="L32" s="17"/>
    </row>
    <row r="33" spans="1:12" ht="11.25">
      <c r="A33" s="1" t="s">
        <v>26</v>
      </c>
      <c r="C33" s="8">
        <v>29780</v>
      </c>
      <c r="D33" s="8">
        <v>22137</v>
      </c>
      <c r="E33" s="8">
        <v>14163</v>
      </c>
      <c r="F33" s="8">
        <v>7080</v>
      </c>
      <c r="G33" s="9">
        <v>28157</v>
      </c>
      <c r="H33" s="10">
        <v>20726</v>
      </c>
      <c r="I33" s="10">
        <v>13721</v>
      </c>
      <c r="J33" s="11">
        <v>6782</v>
      </c>
      <c r="K33" s="9">
        <v>26765</v>
      </c>
      <c r="L33" s="11">
        <v>22284</v>
      </c>
    </row>
    <row r="34" spans="1:12" ht="11.25">
      <c r="A34" s="1" t="s">
        <v>27</v>
      </c>
      <c r="C34" s="8">
        <v>16268</v>
      </c>
      <c r="D34" s="8">
        <v>12397</v>
      </c>
      <c r="E34" s="8">
        <v>8314</v>
      </c>
      <c r="F34" s="8">
        <v>4356</v>
      </c>
      <c r="G34" s="9">
        <v>17731</v>
      </c>
      <c r="H34" s="10">
        <v>12787</v>
      </c>
      <c r="I34" s="10">
        <v>8446</v>
      </c>
      <c r="J34" s="11">
        <v>4182</v>
      </c>
      <c r="K34" s="9">
        <v>16585</v>
      </c>
      <c r="L34" s="11">
        <v>13498</v>
      </c>
    </row>
    <row r="35" spans="1:12" ht="11.25">
      <c r="A35" s="1" t="s">
        <v>28</v>
      </c>
      <c r="C35" s="8">
        <f aca="true" t="shared" si="5" ref="C35:L35">C33-C34</f>
        <v>13512</v>
      </c>
      <c r="D35" s="8">
        <f t="shared" si="5"/>
        <v>9740</v>
      </c>
      <c r="E35" s="8">
        <f t="shared" si="5"/>
        <v>5849</v>
      </c>
      <c r="F35" s="8">
        <f t="shared" si="5"/>
        <v>2724</v>
      </c>
      <c r="G35" s="9">
        <f t="shared" si="5"/>
        <v>10426</v>
      </c>
      <c r="H35" s="10">
        <f t="shared" si="5"/>
        <v>7939</v>
      </c>
      <c r="I35" s="10">
        <f t="shared" si="5"/>
        <v>5275</v>
      </c>
      <c r="J35" s="11">
        <f t="shared" si="5"/>
        <v>2600</v>
      </c>
      <c r="K35" s="9">
        <f t="shared" si="5"/>
        <v>10180</v>
      </c>
      <c r="L35" s="11">
        <f t="shared" si="5"/>
        <v>8786</v>
      </c>
    </row>
    <row r="36" spans="1:12" ht="11.25">
      <c r="A36" s="1" t="s">
        <v>29</v>
      </c>
      <c r="C36" s="8">
        <v>2572</v>
      </c>
      <c r="D36" s="8">
        <v>1880</v>
      </c>
      <c r="E36" s="8">
        <v>1154</v>
      </c>
      <c r="F36" s="8">
        <v>530</v>
      </c>
      <c r="G36" s="9">
        <v>2554</v>
      </c>
      <c r="H36" s="10">
        <v>2045</v>
      </c>
      <c r="I36" s="10">
        <v>1518</v>
      </c>
      <c r="J36" s="11">
        <v>746</v>
      </c>
      <c r="K36" s="9">
        <v>2210</v>
      </c>
      <c r="L36" s="11">
        <v>2229</v>
      </c>
    </row>
    <row r="37" spans="1:12" ht="11.25">
      <c r="A37" s="1" t="s">
        <v>30</v>
      </c>
      <c r="C37" s="8">
        <f aca="true" t="shared" si="6" ref="C37:L37">C35+C36</f>
        <v>16084</v>
      </c>
      <c r="D37" s="8">
        <f t="shared" si="6"/>
        <v>11620</v>
      </c>
      <c r="E37" s="8">
        <f t="shared" si="6"/>
        <v>7003</v>
      </c>
      <c r="F37" s="8">
        <f t="shared" si="6"/>
        <v>3254</v>
      </c>
      <c r="G37" s="9">
        <f t="shared" si="6"/>
        <v>12980</v>
      </c>
      <c r="H37" s="10">
        <f t="shared" si="6"/>
        <v>9984</v>
      </c>
      <c r="I37" s="10">
        <f t="shared" si="6"/>
        <v>6793</v>
      </c>
      <c r="J37" s="11">
        <f t="shared" si="6"/>
        <v>3346</v>
      </c>
      <c r="K37" s="9">
        <f t="shared" si="6"/>
        <v>12390</v>
      </c>
      <c r="L37" s="11">
        <f t="shared" si="6"/>
        <v>11015</v>
      </c>
    </row>
    <row r="38" spans="1:12" ht="11.25">
      <c r="A38" s="1" t="s">
        <v>31</v>
      </c>
      <c r="C38" s="8">
        <v>6852</v>
      </c>
      <c r="D38" s="8">
        <v>4259</v>
      </c>
      <c r="E38" s="8">
        <v>2655</v>
      </c>
      <c r="F38" s="8">
        <v>1328</v>
      </c>
      <c r="G38" s="9">
        <v>6836</v>
      </c>
      <c r="H38" s="10">
        <v>4188</v>
      </c>
      <c r="I38" s="10">
        <v>2624</v>
      </c>
      <c r="J38" s="11">
        <v>1370</v>
      </c>
      <c r="K38" s="9">
        <v>8334</v>
      </c>
      <c r="L38" s="11">
        <v>4897</v>
      </c>
    </row>
    <row r="39" spans="1:12" ht="11.25">
      <c r="A39" s="1" t="s">
        <v>32</v>
      </c>
      <c r="C39" s="8">
        <f aca="true" t="shared" si="7" ref="C39:L39">C37-C38</f>
        <v>9232</v>
      </c>
      <c r="D39" s="8">
        <f t="shared" si="7"/>
        <v>7361</v>
      </c>
      <c r="E39" s="8">
        <f t="shared" si="7"/>
        <v>4348</v>
      </c>
      <c r="F39" s="8">
        <f t="shared" si="7"/>
        <v>1926</v>
      </c>
      <c r="G39" s="9">
        <f t="shared" si="7"/>
        <v>6144</v>
      </c>
      <c r="H39" s="10">
        <f t="shared" si="7"/>
        <v>5796</v>
      </c>
      <c r="I39" s="10">
        <f t="shared" si="7"/>
        <v>4169</v>
      </c>
      <c r="J39" s="11">
        <f t="shared" si="7"/>
        <v>1976</v>
      </c>
      <c r="K39" s="9">
        <f t="shared" si="7"/>
        <v>4056</v>
      </c>
      <c r="L39" s="11">
        <f t="shared" si="7"/>
        <v>6118</v>
      </c>
    </row>
    <row r="40" spans="1:12" ht="11.25">
      <c r="A40" s="2" t="s">
        <v>33</v>
      </c>
      <c r="B40" s="2"/>
      <c r="C40" s="12">
        <v>6831</v>
      </c>
      <c r="D40" s="12">
        <v>5561</v>
      </c>
      <c r="E40" s="12">
        <v>3148</v>
      </c>
      <c r="F40" s="12">
        <v>1326</v>
      </c>
      <c r="G40" s="13">
        <v>3193</v>
      </c>
      <c r="H40" s="12">
        <v>4346</v>
      </c>
      <c r="I40" s="12">
        <v>2869</v>
      </c>
      <c r="J40" s="14">
        <v>1826</v>
      </c>
      <c r="K40" s="13">
        <v>1095</v>
      </c>
      <c r="L40" s="14">
        <v>5233</v>
      </c>
    </row>
    <row r="41" spans="1:12" ht="11.25">
      <c r="A41" s="4" t="s">
        <v>34</v>
      </c>
      <c r="C41" s="8"/>
      <c r="D41" s="8"/>
      <c r="E41" s="8"/>
      <c r="F41" s="8"/>
      <c r="G41" s="15"/>
      <c r="H41" s="16"/>
      <c r="I41" s="16"/>
      <c r="J41" s="17"/>
      <c r="K41" s="15"/>
      <c r="L41" s="17"/>
    </row>
    <row r="42" spans="1:12" ht="11.25">
      <c r="A42" s="1" t="s">
        <v>35</v>
      </c>
      <c r="C42" s="8">
        <v>6682</v>
      </c>
      <c r="D42" s="8">
        <v>6588</v>
      </c>
      <c r="E42" s="8">
        <v>5152</v>
      </c>
      <c r="F42" s="8">
        <v>5261</v>
      </c>
      <c r="G42" s="9">
        <v>4689</v>
      </c>
      <c r="H42" s="10">
        <v>4727</v>
      </c>
      <c r="I42" s="10">
        <v>4780</v>
      </c>
      <c r="J42" s="11">
        <v>4756</v>
      </c>
      <c r="K42" s="9">
        <v>3314</v>
      </c>
      <c r="L42" s="11">
        <v>1235</v>
      </c>
    </row>
    <row r="43" spans="1:12" ht="11.25">
      <c r="A43" s="1" t="s">
        <v>36</v>
      </c>
      <c r="C43" s="8">
        <v>4314</v>
      </c>
      <c r="D43" s="8">
        <v>5757</v>
      </c>
      <c r="E43" s="8">
        <v>4684</v>
      </c>
      <c r="F43" s="8">
        <v>4800</v>
      </c>
      <c r="G43" s="15">
        <v>4200</v>
      </c>
      <c r="H43" s="16">
        <v>3450</v>
      </c>
      <c r="I43" s="16">
        <v>3300</v>
      </c>
      <c r="J43" s="17">
        <v>2150</v>
      </c>
      <c r="K43" s="15">
        <v>2500</v>
      </c>
      <c r="L43" s="17">
        <v>140</v>
      </c>
    </row>
    <row r="44" spans="1:12" ht="11.25">
      <c r="A44" s="1" t="s">
        <v>37</v>
      </c>
      <c r="C44" s="18">
        <f aca="true" t="shared" si="8" ref="C44:L44">C42/C13</f>
        <v>0.021348038197716954</v>
      </c>
      <c r="D44" s="18">
        <f t="shared" si="8"/>
        <v>0.020233912381139585</v>
      </c>
      <c r="E44" s="18">
        <f t="shared" si="8"/>
        <v>0.018291102614079745</v>
      </c>
      <c r="F44" s="18">
        <f t="shared" si="8"/>
        <v>0.01977024279707035</v>
      </c>
      <c r="G44" s="19">
        <f t="shared" si="8"/>
        <v>0.016643299554545937</v>
      </c>
      <c r="H44" s="20">
        <f t="shared" si="8"/>
        <v>0.017980699371987843</v>
      </c>
      <c r="I44" s="20">
        <f t="shared" si="8"/>
        <v>0.018572627521681016</v>
      </c>
      <c r="J44" s="21">
        <f t="shared" si="8"/>
        <v>0.019397439505357137</v>
      </c>
      <c r="K44" s="19">
        <f t="shared" si="8"/>
        <v>0.012997556584866515</v>
      </c>
      <c r="L44" s="21">
        <f t="shared" si="8"/>
        <v>0.005610015353726231</v>
      </c>
    </row>
    <row r="45" spans="1:12" ht="11.25">
      <c r="A45" s="1" t="s">
        <v>38</v>
      </c>
      <c r="C45" s="18">
        <f aca="true" t="shared" si="9" ref="C45:L45">C43/C42</f>
        <v>0.6456150853038013</v>
      </c>
      <c r="D45" s="18">
        <f t="shared" si="9"/>
        <v>0.8738615664845173</v>
      </c>
      <c r="E45" s="18">
        <f t="shared" si="9"/>
        <v>0.9091614906832298</v>
      </c>
      <c r="F45" s="18">
        <f t="shared" si="9"/>
        <v>0.9123740733700817</v>
      </c>
      <c r="G45" s="19">
        <f t="shared" si="9"/>
        <v>0.8957133717210493</v>
      </c>
      <c r="H45" s="20">
        <f t="shared" si="9"/>
        <v>0.729849799026867</v>
      </c>
      <c r="I45" s="20">
        <f t="shared" si="9"/>
        <v>0.6903765690376569</v>
      </c>
      <c r="J45" s="21">
        <f t="shared" si="9"/>
        <v>0.4520605550883095</v>
      </c>
      <c r="K45" s="19">
        <f t="shared" si="9"/>
        <v>0.7543753771876885</v>
      </c>
      <c r="L45" s="21">
        <f t="shared" si="9"/>
        <v>0.11336032388663968</v>
      </c>
    </row>
    <row r="46" spans="1:12" ht="11.25">
      <c r="A46" s="2" t="s">
        <v>39</v>
      </c>
      <c r="B46" s="2"/>
      <c r="C46" s="22">
        <f aca="true" t="shared" si="10" ref="C46:L46">C43/C13</f>
        <v>0.01378261550208784</v>
      </c>
      <c r="D46" s="22">
        <f t="shared" si="10"/>
        <v>0.01768163836949311</v>
      </c>
      <c r="E46" s="22">
        <f t="shared" si="10"/>
        <v>0.016629566118856662</v>
      </c>
      <c r="F46" s="22">
        <f t="shared" si="10"/>
        <v>0.018037856952278594</v>
      </c>
      <c r="G46" s="23">
        <f t="shared" si="10"/>
        <v>0.01490762596056578</v>
      </c>
      <c r="H46" s="22">
        <f t="shared" si="10"/>
        <v>0.01312320982300784</v>
      </c>
      <c r="I46" s="22">
        <f t="shared" si="10"/>
        <v>0.012822106866432502</v>
      </c>
      <c r="J46" s="24">
        <f t="shared" si="10"/>
        <v>0.00876881727008365</v>
      </c>
      <c r="K46" s="23">
        <f t="shared" si="10"/>
        <v>0.009805036651227002</v>
      </c>
      <c r="L46" s="24">
        <f t="shared" si="10"/>
        <v>0.000635953157507427</v>
      </c>
    </row>
    <row r="47" spans="1:12" ht="11.25">
      <c r="A47" s="4" t="s">
        <v>40</v>
      </c>
      <c r="G47" s="15"/>
      <c r="H47" s="16"/>
      <c r="I47" s="16"/>
      <c r="J47" s="17"/>
      <c r="K47" s="15"/>
      <c r="L47" s="17"/>
    </row>
    <row r="48" spans="1:12" ht="11.25">
      <c r="A48" s="1" t="s">
        <v>41</v>
      </c>
      <c r="C48" s="18">
        <f aca="true" t="shared" si="11" ref="C48:L48">C25/(C13+C16)</f>
        <v>0.12814758953041366</v>
      </c>
      <c r="D48" s="18">
        <f t="shared" si="11"/>
        <v>0.11992366638066215</v>
      </c>
      <c r="E48" s="18">
        <f t="shared" si="11"/>
        <v>0.12914927921092564</v>
      </c>
      <c r="F48" s="18">
        <f t="shared" si="11"/>
        <v>0.1298846202611893</v>
      </c>
      <c r="G48" s="19">
        <f t="shared" si="11"/>
        <v>0.11837914376716391</v>
      </c>
      <c r="H48" s="20">
        <f t="shared" si="11"/>
        <v>0.1311881643142604</v>
      </c>
      <c r="I48" s="20">
        <f t="shared" si="11"/>
        <v>0.12835735757148165</v>
      </c>
      <c r="J48" s="21">
        <f t="shared" si="11"/>
        <v>0.12990579156628865</v>
      </c>
      <c r="K48" s="19">
        <f t="shared" si="11"/>
        <v>0.1087068871209292</v>
      </c>
      <c r="L48" s="21">
        <f t="shared" si="11"/>
        <v>0.12098146788198194</v>
      </c>
    </row>
    <row r="49" spans="1:12" ht="11.25">
      <c r="A49" s="2" t="s">
        <v>42</v>
      </c>
      <c r="B49" s="2"/>
      <c r="C49" s="22">
        <f>C25/C13</f>
        <v>0.13355143560924337</v>
      </c>
      <c r="D49" s="22">
        <f>D25/D13</f>
        <v>0.12449015946337748</v>
      </c>
      <c r="E49" s="22">
        <f>E25/E13</f>
        <v>0.13536907056914727</v>
      </c>
      <c r="F49" s="25">
        <f aca="true" t="shared" si="12" ref="F49:L49">F25/F13*100</f>
        <v>13.473527565979099</v>
      </c>
      <c r="G49" s="26">
        <f t="shared" si="12"/>
        <v>12.255488313486078</v>
      </c>
      <c r="H49" s="25">
        <f t="shared" si="12"/>
        <v>13.57282240303089</v>
      </c>
      <c r="I49" s="25">
        <f t="shared" si="12"/>
        <v>13.289530944017905</v>
      </c>
      <c r="J49" s="27">
        <f t="shared" si="12"/>
        <v>13.525594750129494</v>
      </c>
      <c r="K49" s="26">
        <f t="shared" si="12"/>
        <v>11.30206964713634</v>
      </c>
      <c r="L49" s="27">
        <f t="shared" si="12"/>
        <v>12.721788663680716</v>
      </c>
    </row>
    <row r="50" spans="1:12" ht="11.25">
      <c r="A50" s="4" t="s">
        <v>43</v>
      </c>
      <c r="G50" s="15"/>
      <c r="H50" s="16"/>
      <c r="I50" s="16"/>
      <c r="J50" s="17"/>
      <c r="K50" s="15"/>
      <c r="L50" s="17"/>
    </row>
    <row r="51" spans="1:12" ht="11.25">
      <c r="A51" s="1" t="s">
        <v>44</v>
      </c>
      <c r="C51" s="28">
        <f aca="true" t="shared" si="13" ref="C51:L51">C12/C17</f>
        <v>0.18544304527318434</v>
      </c>
      <c r="D51" s="28">
        <f t="shared" si="13"/>
        <v>0.10080011891912853</v>
      </c>
      <c r="E51" s="28">
        <f t="shared" si="13"/>
        <v>0.08251675172852817</v>
      </c>
      <c r="F51" s="28">
        <f t="shared" si="13"/>
        <v>0.09433597525613764</v>
      </c>
      <c r="G51" s="29">
        <f t="shared" si="13"/>
        <v>0.1875890722785871</v>
      </c>
      <c r="H51" s="30">
        <f t="shared" si="13"/>
        <v>0.0926860698149678</v>
      </c>
      <c r="I51" s="30">
        <f t="shared" si="13"/>
        <v>0.1685265629479628</v>
      </c>
      <c r="J51" s="31">
        <f t="shared" si="13"/>
        <v>0.2225750702095485</v>
      </c>
      <c r="K51" s="29">
        <f t="shared" si="13"/>
        <v>0.24509167533784995</v>
      </c>
      <c r="L51" s="31">
        <f t="shared" si="13"/>
        <v>0.3214719559809333</v>
      </c>
    </row>
    <row r="52" spans="1:12" ht="11.25">
      <c r="A52" s="1" t="s">
        <v>45</v>
      </c>
      <c r="C52" s="28">
        <f aca="true" t="shared" si="14" ref="C52:L52">C12/C11</f>
        <v>0.1565896681248433</v>
      </c>
      <c r="D52" s="28">
        <f t="shared" si="14"/>
        <v>0.07891068695531185</v>
      </c>
      <c r="E52" s="28">
        <f t="shared" si="14"/>
        <v>0.06749049715742365</v>
      </c>
      <c r="F52" s="28">
        <f t="shared" si="14"/>
        <v>0.07729027884685438</v>
      </c>
      <c r="G52" s="29">
        <f t="shared" si="14"/>
        <v>0.15781704844449201</v>
      </c>
      <c r="H52" s="30">
        <f t="shared" si="14"/>
        <v>0.07447095702548108</v>
      </c>
      <c r="I52" s="30">
        <f t="shared" si="14"/>
        <v>0.1390813169567314</v>
      </c>
      <c r="J52" s="31">
        <f t="shared" si="14"/>
        <v>0.18426072752852526</v>
      </c>
      <c r="K52" s="29">
        <f t="shared" si="14"/>
        <v>0.2112974299991845</v>
      </c>
      <c r="L52" s="31">
        <f t="shared" si="14"/>
        <v>0.2764044414892052</v>
      </c>
    </row>
    <row r="53" spans="1:12" ht="11.25">
      <c r="A53" s="2" t="s">
        <v>46</v>
      </c>
      <c r="B53" s="2"/>
      <c r="C53" s="32">
        <f aca="true" t="shared" si="15" ref="C53:L53">(C12+C16)/C17</f>
        <v>0.22349454553841186</v>
      </c>
      <c r="D53" s="32">
        <f t="shared" si="15"/>
        <v>0.14086423184059665</v>
      </c>
      <c r="E53" s="32">
        <f t="shared" si="15"/>
        <v>0.13243156721113616</v>
      </c>
      <c r="F53" s="32">
        <f t="shared" si="15"/>
        <v>0.1327585540305432</v>
      </c>
      <c r="G53" s="33">
        <f t="shared" si="15"/>
        <v>0.21999915208082627</v>
      </c>
      <c r="H53" s="32">
        <f t="shared" si="15"/>
        <v>0.1286489606020958</v>
      </c>
      <c r="I53" s="32">
        <f t="shared" si="15"/>
        <v>0.2015474337060384</v>
      </c>
      <c r="J53" s="34">
        <f t="shared" si="15"/>
        <v>0.2589328148628213</v>
      </c>
      <c r="K53" s="33">
        <f t="shared" si="15"/>
        <v>0.2780954493412619</v>
      </c>
      <c r="L53" s="34">
        <f t="shared" si="15"/>
        <v>0.36030345233491995</v>
      </c>
    </row>
    <row r="54" spans="1:12" ht="11.25">
      <c r="A54" s="4" t="s">
        <v>47</v>
      </c>
      <c r="G54" s="15"/>
      <c r="H54" s="16"/>
      <c r="I54" s="16"/>
      <c r="J54" s="17"/>
      <c r="K54" s="15"/>
      <c r="L54" s="17"/>
    </row>
    <row r="55" spans="1:12" ht="11.25">
      <c r="A55" s="1" t="s">
        <v>48</v>
      </c>
      <c r="B55" s="16"/>
      <c r="C55" s="20">
        <f>(C40)/C28</f>
        <v>0.02211126846044912</v>
      </c>
      <c r="D55" s="18">
        <f>((D40)/0.75)/D28</f>
        <v>0.024311139745882795</v>
      </c>
      <c r="E55" s="18">
        <f>((E40)/0.5)/E28</f>
        <v>0.022417700583408553</v>
      </c>
      <c r="F55" s="18">
        <f>((F40)/0.25)/F28</f>
        <v>0.019964993506860144</v>
      </c>
      <c r="G55" s="19">
        <f>(G40)/G28</f>
        <v>0.01146989198257065</v>
      </c>
      <c r="H55" s="20">
        <f>((H40)/0.75)/H28</f>
        <v>0.02157776884082796</v>
      </c>
      <c r="I55" s="20">
        <f>((I40)/0.5)/I28</f>
        <v>0.021663048607833885</v>
      </c>
      <c r="J55" s="21">
        <f>((J40)/0.25)/J28</f>
        <v>0.028908300054222853</v>
      </c>
      <c r="K55" s="19">
        <f>K40/K28</f>
        <v>0.004410174413336045</v>
      </c>
      <c r="L55" s="21">
        <f>L40/L28</f>
        <v>0.026819599371663887</v>
      </c>
    </row>
    <row r="56" spans="1:12" ht="11.25">
      <c r="A56" s="1" t="s">
        <v>49</v>
      </c>
      <c r="B56" s="16"/>
      <c r="C56" s="20">
        <f>(C40)/C27</f>
        <v>0.01762233865537764</v>
      </c>
      <c r="D56" s="18">
        <f>((D40)/0.75)/D27</f>
        <v>0.020881796863412173</v>
      </c>
      <c r="E56" s="18">
        <f>((E40)/0.5)/E27</f>
        <v>0.018902365798006485</v>
      </c>
      <c r="F56" s="18">
        <f>((F40)/0.25)/F27</f>
        <v>0.016290301527215768</v>
      </c>
      <c r="G56" s="19">
        <f>(G40)/G27</f>
        <v>0.00886843442830122</v>
      </c>
      <c r="H56" s="20">
        <f>((H40)/0.75)/H27</f>
        <v>0.018613336416996983</v>
      </c>
      <c r="I56" s="20">
        <f>((I40)/0.5)/I27</f>
        <v>0.01755770972558811</v>
      </c>
      <c r="J56" s="21">
        <f>((J40)/0.25)/J27</f>
        <v>0.022919758878111693</v>
      </c>
      <c r="K56" s="19">
        <f>K40/K27</f>
        <v>0.0031488636053194226</v>
      </c>
      <c r="L56" s="21">
        <f>L40/L27</f>
        <v>0.01836336871138841</v>
      </c>
    </row>
    <row r="57" spans="1:12" ht="11.25">
      <c r="A57" s="1" t="s">
        <v>50</v>
      </c>
      <c r="B57" s="16"/>
      <c r="C57" s="20">
        <f>(C40)/C31</f>
        <v>0.17898598192060788</v>
      </c>
      <c r="D57" s="18">
        <f>((D40)/0.75)/D31</f>
        <v>0.1945723720177568</v>
      </c>
      <c r="E57" s="18">
        <f>((E40)/0.5)/E31</f>
        <v>0.17408615827019852</v>
      </c>
      <c r="F57" s="18">
        <f>((F40)/0.25)/F31</f>
        <v>0.1537012620079111</v>
      </c>
      <c r="G57" s="19">
        <f>(G40)/G31</f>
        <v>0.1008130081300813</v>
      </c>
      <c r="H57" s="20">
        <f>((H40)/0.75)/H31</f>
        <v>0.1731715577869424</v>
      </c>
      <c r="I57" s="20">
        <f>((I40)/0.5)/I31</f>
        <v>0.177900415452347</v>
      </c>
      <c r="J57" s="21">
        <f>((J40)/0.25)/J31</f>
        <v>0.23390764106834047</v>
      </c>
      <c r="K57" s="19">
        <f>K40/K31</f>
        <v>0.038540731745947944</v>
      </c>
      <c r="L57" s="21">
        <f>L40/L31</f>
        <v>0.20625098533816805</v>
      </c>
    </row>
    <row r="58" spans="1:12" ht="11.25">
      <c r="A58" s="1" t="s">
        <v>51</v>
      </c>
      <c r="B58" s="16"/>
      <c r="C58" s="20">
        <f aca="true" t="shared" si="16" ref="C58:L58">(C33)/C28</f>
        <v>0.09639490188144852</v>
      </c>
      <c r="D58" s="20">
        <f t="shared" si="16"/>
        <v>0.07258258863800676</v>
      </c>
      <c r="E58" s="20">
        <f t="shared" si="16"/>
        <v>0.05042914443500879</v>
      </c>
      <c r="F58" s="21">
        <f t="shared" si="16"/>
        <v>0.02665010445485856</v>
      </c>
      <c r="G58" s="20">
        <f t="shared" si="16"/>
        <v>0.10114555231858496</v>
      </c>
      <c r="H58" s="20">
        <f t="shared" si="16"/>
        <v>0.07717800914547865</v>
      </c>
      <c r="I58" s="20">
        <f t="shared" si="16"/>
        <v>0.051801793298725814</v>
      </c>
      <c r="J58" s="20">
        <f t="shared" si="16"/>
        <v>0.02684229065823376</v>
      </c>
      <c r="K58" s="19">
        <f t="shared" si="16"/>
        <v>0.1077975508428669</v>
      </c>
      <c r="L58" s="35">
        <f t="shared" si="16"/>
        <v>0.11420752004551081</v>
      </c>
    </row>
    <row r="59" spans="1:12" ht="11.25">
      <c r="A59" s="1" t="s">
        <v>52</v>
      </c>
      <c r="B59" s="16"/>
      <c r="C59" s="20">
        <f aca="true" t="shared" si="17" ref="C59:L59">(C34)/C28</f>
        <v>0.05265790006069189</v>
      </c>
      <c r="D59" s="20">
        <f t="shared" si="17"/>
        <v>0.040647167698666026</v>
      </c>
      <c r="E59" s="20">
        <f t="shared" si="17"/>
        <v>0.029603043623008054</v>
      </c>
      <c r="F59" s="21">
        <f t="shared" si="17"/>
        <v>0.01639658969002315</v>
      </c>
      <c r="G59" s="20">
        <f t="shared" si="17"/>
        <v>0.06369328366519267</v>
      </c>
      <c r="H59" s="20">
        <f t="shared" si="17"/>
        <v>0.04761532388995636</v>
      </c>
      <c r="I59" s="20">
        <f t="shared" si="17"/>
        <v>0.03188673902784332</v>
      </c>
      <c r="J59" s="20">
        <f t="shared" si="17"/>
        <v>0.016551822402349394</v>
      </c>
      <c r="K59" s="19">
        <f t="shared" si="17"/>
        <v>0.06679702524673818</v>
      </c>
      <c r="L59" s="35">
        <f t="shared" si="17"/>
        <v>0.0691784735942517</v>
      </c>
    </row>
    <row r="60" spans="1:12" ht="11.25">
      <c r="A60" s="1" t="s">
        <v>53</v>
      </c>
      <c r="B60" s="16"/>
      <c r="C60" s="20">
        <f aca="true" t="shared" si="18" ref="C60:L60">(C35)/C28</f>
        <v>0.04373700182075663</v>
      </c>
      <c r="D60" s="20">
        <f t="shared" si="18"/>
        <v>0.031935420939340736</v>
      </c>
      <c r="E60" s="20">
        <f t="shared" si="18"/>
        <v>0.020826100812000734</v>
      </c>
      <c r="F60" s="21">
        <f t="shared" si="18"/>
        <v>0.010253514764835414</v>
      </c>
      <c r="G60" s="20">
        <f t="shared" si="18"/>
        <v>0.037452268653392295</v>
      </c>
      <c r="H60" s="20">
        <f t="shared" si="18"/>
        <v>0.02956268525552229</v>
      </c>
      <c r="I60" s="20">
        <f t="shared" si="18"/>
        <v>0.01991505427088249</v>
      </c>
      <c r="J60" s="20">
        <f t="shared" si="18"/>
        <v>0.010290468255884366</v>
      </c>
      <c r="K60" s="19">
        <f t="shared" si="18"/>
        <v>0.04100052559612871</v>
      </c>
      <c r="L60" s="35">
        <f t="shared" si="18"/>
        <v>0.04502904645125911</v>
      </c>
    </row>
    <row r="61" spans="1:12" ht="11.25">
      <c r="A61" s="1" t="s">
        <v>54</v>
      </c>
      <c r="B61" s="16"/>
      <c r="C61" s="20">
        <f>(C38)/(C37)</f>
        <v>0.4260134294951505</v>
      </c>
      <c r="D61" s="20">
        <f>(D38/0.75)/(D37/0.75)</f>
        <v>0.36652323580034424</v>
      </c>
      <c r="E61" s="20">
        <f>(E38/0.5)/(E37/0.5)</f>
        <v>0.3791232329001856</v>
      </c>
      <c r="F61" s="21">
        <f>(F38/0.25)/(F37/0.25)</f>
        <v>0.40811309157959436</v>
      </c>
      <c r="G61" s="20">
        <f>(G38)/(G37)</f>
        <v>0.5266563944530046</v>
      </c>
      <c r="H61" s="20">
        <f>((H38)/0.75)/((H37)/0.75)</f>
        <v>0.41947115384615385</v>
      </c>
      <c r="I61" s="20">
        <f>((I38)/0.5)/((I37)/0.5)</f>
        <v>0.3862799941115855</v>
      </c>
      <c r="J61" s="21">
        <f>(J38/0.25)/(J37/0.25)</f>
        <v>0.40944411237298267</v>
      </c>
      <c r="K61" s="19">
        <f>K38/K37</f>
        <v>0.672639225181598</v>
      </c>
      <c r="L61" s="21">
        <f>L38/L37</f>
        <v>0.4445755787562415</v>
      </c>
    </row>
    <row r="62" spans="1:12" ht="11.25">
      <c r="A62" s="2" t="s">
        <v>55</v>
      </c>
      <c r="B62" s="2"/>
      <c r="C62" s="22">
        <f aca="true" t="shared" si="19" ref="C62:L62">(C36)/C28</f>
        <v>0.00832530851709488</v>
      </c>
      <c r="D62" s="22">
        <f t="shared" si="19"/>
        <v>0.006164126423609916</v>
      </c>
      <c r="E62" s="22">
        <f t="shared" si="19"/>
        <v>0.004108962273388416</v>
      </c>
      <c r="F62" s="24">
        <f t="shared" si="19"/>
        <v>0.001994993695067096</v>
      </c>
      <c r="G62" s="22">
        <f t="shared" si="19"/>
        <v>0.009174476706384415</v>
      </c>
      <c r="H62" s="22">
        <f t="shared" si="19"/>
        <v>0.007615025991629057</v>
      </c>
      <c r="I62" s="22">
        <f t="shared" si="19"/>
        <v>0.00573100519112789</v>
      </c>
      <c r="J62" s="22">
        <f t="shared" si="19"/>
        <v>0.0029525728149575915</v>
      </c>
      <c r="K62" s="36">
        <f t="shared" si="19"/>
        <v>0.008900899957509279</v>
      </c>
      <c r="L62" s="36">
        <f t="shared" si="19"/>
        <v>0.011423827058941105</v>
      </c>
    </row>
    <row r="63" spans="1:12" ht="11.25">
      <c r="A63" s="4" t="s">
        <v>56</v>
      </c>
      <c r="B63" s="16"/>
      <c r="G63" s="15"/>
      <c r="H63" s="16"/>
      <c r="I63" s="16"/>
      <c r="J63" s="17"/>
      <c r="K63" s="15"/>
      <c r="L63" s="17"/>
    </row>
    <row r="64" spans="1:12" ht="11.25">
      <c r="A64" s="1" t="s">
        <v>57</v>
      </c>
      <c r="B64" s="16"/>
      <c r="C64" s="8">
        <v>83</v>
      </c>
      <c r="D64" s="8">
        <v>87</v>
      </c>
      <c r="E64" s="8">
        <v>80</v>
      </c>
      <c r="F64" s="8">
        <v>80</v>
      </c>
      <c r="G64" s="9">
        <v>83</v>
      </c>
      <c r="H64" s="10">
        <v>84</v>
      </c>
      <c r="I64" s="10">
        <v>89</v>
      </c>
      <c r="J64" s="11">
        <v>77</v>
      </c>
      <c r="K64" s="9">
        <v>91</v>
      </c>
      <c r="L64" s="11">
        <v>84</v>
      </c>
    </row>
    <row r="65" spans="1:12" ht="11.25">
      <c r="A65" s="1" t="s">
        <v>58</v>
      </c>
      <c r="B65" s="16"/>
      <c r="C65" s="8">
        <v>4</v>
      </c>
      <c r="D65" s="8">
        <v>4</v>
      </c>
      <c r="E65" s="8">
        <v>4</v>
      </c>
      <c r="F65" s="8">
        <v>4</v>
      </c>
      <c r="G65" s="9">
        <v>4</v>
      </c>
      <c r="H65" s="10">
        <v>4</v>
      </c>
      <c r="I65" s="10">
        <v>4</v>
      </c>
      <c r="J65" s="11">
        <v>4</v>
      </c>
      <c r="K65" s="9">
        <v>4</v>
      </c>
      <c r="L65" s="11">
        <v>4</v>
      </c>
    </row>
    <row r="66" spans="1:12" ht="11.25">
      <c r="A66" s="1" t="s">
        <v>59</v>
      </c>
      <c r="B66" s="16"/>
      <c r="C66" s="37">
        <f aca="true" t="shared" si="20" ref="C66:L66">C13/C64</f>
        <v>3771.120481927711</v>
      </c>
      <c r="D66" s="37">
        <f t="shared" si="20"/>
        <v>3742.4367816091954</v>
      </c>
      <c r="E66" s="37">
        <f t="shared" si="20"/>
        <v>3520.8375</v>
      </c>
      <c r="F66" s="38">
        <f t="shared" si="20"/>
        <v>3326.3375</v>
      </c>
      <c r="G66" s="39">
        <f t="shared" si="20"/>
        <v>3394.397590361446</v>
      </c>
      <c r="H66" s="40">
        <f t="shared" si="20"/>
        <v>3129.6785714285716</v>
      </c>
      <c r="I66" s="40">
        <f t="shared" si="20"/>
        <v>2891.775280898876</v>
      </c>
      <c r="J66" s="41">
        <f t="shared" si="20"/>
        <v>3184.246753246753</v>
      </c>
      <c r="K66" s="39">
        <f t="shared" si="20"/>
        <v>2801.879120879121</v>
      </c>
      <c r="L66" s="41">
        <f t="shared" si="20"/>
        <v>2620.7380952380954</v>
      </c>
    </row>
    <row r="67" spans="1:12" ht="11.25">
      <c r="A67" s="1" t="s">
        <v>60</v>
      </c>
      <c r="B67" s="16"/>
      <c r="C67" s="37">
        <f aca="true" t="shared" si="21" ref="C67:L67">C17/C64</f>
        <v>4179.180722891566</v>
      </c>
      <c r="D67" s="37">
        <f t="shared" si="21"/>
        <v>3556.942528735632</v>
      </c>
      <c r="E67" s="37">
        <f t="shared" si="21"/>
        <v>3397.0375</v>
      </c>
      <c r="F67" s="38">
        <f t="shared" si="21"/>
        <v>3233.125</v>
      </c>
      <c r="G67" s="39">
        <f t="shared" si="21"/>
        <v>3694.373493975904</v>
      </c>
      <c r="H67" s="40">
        <f t="shared" si="21"/>
        <v>3011.7023809523807</v>
      </c>
      <c r="I67" s="40">
        <f t="shared" si="21"/>
        <v>3096.1011235955057</v>
      </c>
      <c r="J67" s="41">
        <f t="shared" si="21"/>
        <v>3607.012987012987</v>
      </c>
      <c r="K67" s="39">
        <f t="shared" si="21"/>
        <v>3368.912087912088</v>
      </c>
      <c r="L67" s="41">
        <f t="shared" si="21"/>
        <v>3479.0119047619046</v>
      </c>
    </row>
    <row r="68" spans="1:12" ht="11.25">
      <c r="A68" s="2" t="s">
        <v>61</v>
      </c>
      <c r="B68" s="2"/>
      <c r="C68" s="42">
        <f aca="true" t="shared" si="22" ref="C68:L68">C40/C64</f>
        <v>82.3012048192771</v>
      </c>
      <c r="D68" s="42">
        <f t="shared" si="22"/>
        <v>63.91954022988506</v>
      </c>
      <c r="E68" s="42">
        <f t="shared" si="22"/>
        <v>39.35</v>
      </c>
      <c r="F68" s="25">
        <f t="shared" si="22"/>
        <v>16.575</v>
      </c>
      <c r="G68" s="26">
        <f t="shared" si="22"/>
        <v>38.46987951807229</v>
      </c>
      <c r="H68" s="25">
        <f t="shared" si="22"/>
        <v>51.73809523809524</v>
      </c>
      <c r="I68" s="25">
        <f t="shared" si="22"/>
        <v>32.235955056179776</v>
      </c>
      <c r="J68" s="27">
        <f t="shared" si="22"/>
        <v>23.714285714285715</v>
      </c>
      <c r="K68" s="26">
        <f t="shared" si="22"/>
        <v>12.032967032967033</v>
      </c>
      <c r="L68" s="27">
        <f t="shared" si="22"/>
        <v>62.29761904761905</v>
      </c>
    </row>
    <row r="69" spans="1:12" ht="11.25">
      <c r="A69" s="4" t="s">
        <v>62</v>
      </c>
      <c r="B69" s="16"/>
      <c r="G69" s="15"/>
      <c r="H69" s="16"/>
      <c r="I69" s="16"/>
      <c r="J69" s="17"/>
      <c r="K69" s="15"/>
      <c r="L69" s="17"/>
    </row>
    <row r="70" spans="1:12" ht="11.25">
      <c r="A70" s="1" t="s">
        <v>63</v>
      </c>
      <c r="B70" s="16"/>
      <c r="C70" s="18">
        <f>(C11-G11)/G11</f>
        <v>0.1270525873918662</v>
      </c>
      <c r="D70" s="18">
        <f>(D11-H11)/H11</f>
        <v>0.2554587579916217</v>
      </c>
      <c r="E70" s="18">
        <f>(E11-I11)/I11</f>
        <v>-0.004857872778840999</v>
      </c>
      <c r="F70" s="18">
        <f>(F11-J11)/J11</f>
        <v>-0.059014820025514766</v>
      </c>
      <c r="G70" s="19">
        <f>(G11-K11)/K11</f>
        <v>0.02496041934404378</v>
      </c>
      <c r="H70" s="20">
        <f>(H11-307775)/307775</f>
        <v>0.023023312484769718</v>
      </c>
      <c r="I70" s="20">
        <f>(I11-319725)/319725</f>
        <v>0.04430682617874736</v>
      </c>
      <c r="J70" s="21">
        <f>(J11-301862)/301862</f>
        <v>0.1114085244250684</v>
      </c>
      <c r="K70" s="19">
        <f>(K11-L11)/L11</f>
        <v>0.046241975250525175</v>
      </c>
      <c r="L70" s="21">
        <f>(L11-230053)/230053</f>
        <v>0.4774247673362225</v>
      </c>
    </row>
    <row r="71" spans="1:12" ht="11.25">
      <c r="A71" s="1" t="s">
        <v>64</v>
      </c>
      <c r="B71" s="16"/>
      <c r="C71" s="18">
        <f aca="true" t="shared" si="23" ref="C71:G73">(C13-G13)/G13</f>
        <v>0.11098372584165972</v>
      </c>
      <c r="D71" s="18">
        <f t="shared" si="23"/>
        <v>0.23849627034573</v>
      </c>
      <c r="E71" s="18">
        <f t="shared" si="23"/>
        <v>0.09441344689316465</v>
      </c>
      <c r="F71" s="18">
        <f t="shared" si="23"/>
        <v>0.08532263129774417</v>
      </c>
      <c r="G71" s="19">
        <f t="shared" si="23"/>
        <v>0.10496880037337579</v>
      </c>
      <c r="H71" s="20">
        <f>H13/257208-1</f>
        <v>0.02210273397405982</v>
      </c>
      <c r="I71" s="20">
        <f>I13/255386-1</f>
        <v>0.007760801296860409</v>
      </c>
      <c r="J71" s="21">
        <f>J13/242140-1</f>
        <v>0.0125836293053605</v>
      </c>
      <c r="K71" s="19">
        <f>(K13-L13)/L13</f>
        <v>0.15821151802018696</v>
      </c>
      <c r="L71" s="21">
        <f>(L13-150079)/150079</f>
        <v>0.4668407971801518</v>
      </c>
    </row>
    <row r="72" spans="2:12" ht="11.25">
      <c r="B72" s="16" t="s">
        <v>15</v>
      </c>
      <c r="C72" s="18">
        <f t="shared" si="23"/>
        <v>0.06285278348041128</v>
      </c>
      <c r="D72" s="18">
        <f t="shared" si="23"/>
        <v>0.22336116053099767</v>
      </c>
      <c r="E72" s="18">
        <f t="shared" si="23"/>
        <v>0.09786585932130983</v>
      </c>
      <c r="F72" s="18">
        <f t="shared" si="23"/>
        <v>0.05209164917849409</v>
      </c>
      <c r="G72" s="19">
        <f t="shared" si="23"/>
        <v>0.0764216314968767</v>
      </c>
      <c r="H72" s="20">
        <f>H14/229379-1</f>
        <v>-0.04433274188134051</v>
      </c>
      <c r="I72" s="20">
        <f>I14/228631-1</f>
        <v>-0.05806299233262335</v>
      </c>
      <c r="J72" s="21">
        <f>J14/220396-1</f>
        <v>-0.05084938020653729</v>
      </c>
      <c r="K72" s="19">
        <f>(K14-L14)/L14</f>
        <v>0.08130839722836092</v>
      </c>
      <c r="L72" s="21">
        <f>(L14-144961)/144961</f>
        <v>0.38284780044287775</v>
      </c>
    </row>
    <row r="73" spans="2:12" ht="11.25">
      <c r="B73" s="16" t="s">
        <v>16</v>
      </c>
      <c r="C73" s="20">
        <f t="shared" si="23"/>
        <v>0.34295216062133355</v>
      </c>
      <c r="D73" s="18">
        <f t="shared" si="23"/>
        <v>0.31444726781585514</v>
      </c>
      <c r="E73" s="18">
        <f t="shared" si="23"/>
        <v>0.07671617633057222</v>
      </c>
      <c r="F73" s="18">
        <f t="shared" si="23"/>
        <v>0.2784321351186177</v>
      </c>
      <c r="G73" s="19">
        <f t="shared" si="23"/>
        <v>0.26689869939549365</v>
      </c>
      <c r="H73" s="20">
        <f>H15/27829-1</f>
        <v>0.5696934852132667</v>
      </c>
      <c r="I73" s="20">
        <f>I15/26755-1</f>
        <v>0.5702485516725846</v>
      </c>
      <c r="J73" s="21">
        <f>J15/21744-1</f>
        <v>0.6555371596762325</v>
      </c>
      <c r="K73" s="19">
        <f>(K15-L15)/L15</f>
        <v>0.9414215312706397</v>
      </c>
      <c r="L73" s="21">
        <f>(L15-5118)/5118</f>
        <v>2.8458382180539274</v>
      </c>
    </row>
    <row r="74" spans="1:12" ht="11.25">
      <c r="A74" s="1" t="s">
        <v>65</v>
      </c>
      <c r="B74" s="16"/>
      <c r="C74" s="18">
        <f aca="true" t="shared" si="24" ref="C74:G75">(C17-G17)/G17</f>
        <v>0.13122853704591483</v>
      </c>
      <c r="D74" s="18">
        <f t="shared" si="24"/>
        <v>0.22322053260495764</v>
      </c>
      <c r="E74" s="18">
        <f t="shared" si="24"/>
        <v>-0.013754159816804752</v>
      </c>
      <c r="F74" s="18">
        <f t="shared" si="24"/>
        <v>-0.068733347735292</v>
      </c>
      <c r="G74" s="19">
        <f t="shared" si="24"/>
        <v>0.00020223700219525005</v>
      </c>
      <c r="H74" s="20">
        <f>H17/262570-1</f>
        <v>-0.03651216818372238</v>
      </c>
      <c r="I74" s="20">
        <f>I17/271333-1</f>
        <v>0.015552844659514342</v>
      </c>
      <c r="J74" s="21">
        <f>J17/250712-1</f>
        <v>0.10780497144133516</v>
      </c>
      <c r="K74" s="19">
        <f>(K17-L17)/L17</f>
        <v>0.04904923059024011</v>
      </c>
      <c r="L74" s="21">
        <f>(L17-188009)/188009</f>
        <v>0.5543777159604062</v>
      </c>
    </row>
    <row r="75" spans="2:12" ht="11.25">
      <c r="B75" s="16" t="s">
        <v>15</v>
      </c>
      <c r="C75" s="18">
        <f t="shared" si="24"/>
        <v>-0.066015713701803</v>
      </c>
      <c r="D75" s="18">
        <f t="shared" si="24"/>
        <v>0.05732461565647641</v>
      </c>
      <c r="E75" s="18">
        <f t="shared" si="24"/>
        <v>0.014023053258882463</v>
      </c>
      <c r="F75" s="18">
        <f t="shared" si="24"/>
        <v>-0.03224002773335719</v>
      </c>
      <c r="G75" s="19">
        <f t="shared" si="24"/>
        <v>0.06457352272837154</v>
      </c>
      <c r="H75" s="20">
        <f>H18/166315-1</f>
        <v>0.020773832787180924</v>
      </c>
      <c r="I75" s="20">
        <f>I18/166011-1</f>
        <v>0.09064459584003459</v>
      </c>
      <c r="J75" s="21">
        <f>J18/158209-1</f>
        <v>0.13044137817696844</v>
      </c>
      <c r="K75" s="19">
        <f>(K18-L18)/L18</f>
        <v>0.09340522823989639</v>
      </c>
      <c r="L75" s="21">
        <f>(L18-112338)/112338</f>
        <v>0.6838914703840197</v>
      </c>
    </row>
    <row r="76" spans="2:12" ht="11.25">
      <c r="B76" s="16" t="s">
        <v>16</v>
      </c>
      <c r="C76" s="18">
        <f>(C22-G22)/G22</f>
        <v>0.6336545469268766</v>
      </c>
      <c r="D76" s="18">
        <f>(D22-H22)/H22</f>
        <v>0.561679064569238</v>
      </c>
      <c r="E76" s="18">
        <f>(E22-I22)/I22</f>
        <v>-0.06697779753211844</v>
      </c>
      <c r="F76" s="18">
        <f>(F22-J22)/J22</f>
        <v>-0.1347301150727041</v>
      </c>
      <c r="G76" s="19">
        <f>(G22-K22)/K22</f>
        <v>-0.13329055415743404</v>
      </c>
      <c r="H76" s="20">
        <f>H22/96256-1</f>
        <v>-0.13550324135638303</v>
      </c>
      <c r="I76" s="20">
        <f>I22/105322-1</f>
        <v>-0.10280853003171231</v>
      </c>
      <c r="J76" s="21">
        <f>J22/92502-1</f>
        <v>0.06910120862251623</v>
      </c>
      <c r="K76" s="19">
        <f>(K22-L22)/L22</f>
        <v>-0.0323560229742316</v>
      </c>
      <c r="L76" s="21">
        <f>(L22-75971)/75971</f>
        <v>0.35672822524384307</v>
      </c>
    </row>
    <row r="77" spans="1:12" ht="11.25">
      <c r="A77" s="1" t="s">
        <v>66</v>
      </c>
      <c r="B77" s="16"/>
      <c r="C77" s="18">
        <f>C25/G25-1</f>
        <v>0.2106696014828544</v>
      </c>
      <c r="D77" s="18">
        <f>D25/H25-1</f>
        <v>0.13595089961325035</v>
      </c>
      <c r="E77" s="18">
        <f>E25/I25-1</f>
        <v>0.11478525275560614</v>
      </c>
      <c r="F77" s="18">
        <f>(F25-J25)/J25</f>
        <v>0.08114464915719326</v>
      </c>
      <c r="G77" s="19">
        <f>(G25-K25)/K25</f>
        <v>0.19818162889960786</v>
      </c>
      <c r="H77" s="20">
        <f>(H25-31242)/31242</f>
        <v>0.1421163817937392</v>
      </c>
      <c r="I77" s="20">
        <f>(I25-30306)/30306</f>
        <v>0.12858839833696298</v>
      </c>
      <c r="J77" s="21">
        <f>(J25-29289)/29289</f>
        <v>0.13226808699511763</v>
      </c>
      <c r="K77" s="19">
        <f>(K25-L25)/L25</f>
        <v>0.028958080411340428</v>
      </c>
      <c r="L77" s="21">
        <f>(L25-22738)/22738</f>
        <v>0.23168264579118655</v>
      </c>
    </row>
    <row r="78" spans="1:12" ht="11.25">
      <c r="A78" s="2" t="s">
        <v>67</v>
      </c>
      <c r="B78" s="2"/>
      <c r="C78" s="22">
        <f>(C40-G40)/G40</f>
        <v>1.139367366113373</v>
      </c>
      <c r="D78" s="22">
        <f>(D40-H40)/H40</f>
        <v>0.2795674183156926</v>
      </c>
      <c r="E78" s="22">
        <f>(E40-I40)/I40</f>
        <v>0.09724642732659464</v>
      </c>
      <c r="F78" s="22">
        <f>F40/J40-1</f>
        <v>-0.2738225629791895</v>
      </c>
      <c r="G78" s="23">
        <f>G40/K40-1</f>
        <v>1.9159817351598174</v>
      </c>
      <c r="H78" s="22">
        <f>H40/4632-1</f>
        <v>-0.06174438687392059</v>
      </c>
      <c r="I78" s="22">
        <f>I40/2683-1</f>
        <v>0.06932538203503547</v>
      </c>
      <c r="J78" s="24">
        <f>J40/1680-1</f>
        <v>0.08690476190476182</v>
      </c>
      <c r="K78" s="23">
        <f>(K40-L40)/L40</f>
        <v>-0.7907510032486146</v>
      </c>
      <c r="L78" s="24">
        <f>(L40-3406)/3406</f>
        <v>0.5364063417498532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884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2002-03-25T14:32:30Z</cp:lastPrinted>
  <dcterms:created xsi:type="dcterms:W3CDTF">2002-03-19T15:03:21Z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