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ontinenta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<sst xmlns="http://schemas.openxmlformats.org/spreadsheetml/2006/main" count="84" uniqueCount="68">
  <si>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18-5</t>
  </si>
  <si>
    <t>BANCO CONTINENTAL DE PANAMA, S.A.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</si>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</sst>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0" fontId="2" fillId="0" borderId="7" xfId="0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421875" defaultRowHeight="12.75"/>
  <cols>
    <col min="1" max="1" width="2.57421875" style="1" customWidth="1"/>
    <col min="2" max="2" width="38.00390625" style="1" customWidth="1"/>
    <col min="3" max="3" width="9.00390625" style="1" bestFit="1" customWidth="1"/>
    <col min="4" max="4" width="9.7109375" style="1" customWidth="1"/>
    <col min="5" max="7" width="9.00390625" style="1" bestFit="1" customWidth="1"/>
    <col min="8" max="8" width="9.8515625" style="1" customWidth="1"/>
    <col min="9" max="11" width="9.0039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1"/>
      <c r="C2" s="41"/>
      <c r="D2" s="41"/>
      <c r="E2" s="41"/>
      <c r="F2" s="41" t="s">
        <v>0</v>
      </c>
      <c r="H2" s="41"/>
      <c r="I2" s="41"/>
      <c r="J2" s="41"/>
      <c r="K2" s="41"/>
      <c r="L2" s="41"/>
    </row>
    <row r="3" spans="2:12" ht="11.25">
      <c r="B3" s="41"/>
      <c r="C3" s="41"/>
      <c r="D3" s="41"/>
      <c r="E3" s="41"/>
      <c r="F3" s="41" t="s">
        <v>1</v>
      </c>
      <c r="H3" s="41"/>
      <c r="I3" s="41"/>
      <c r="J3" s="41"/>
      <c r="K3" s="41"/>
      <c r="L3" s="41"/>
    </row>
    <row r="4" spans="2:12" ht="11.25">
      <c r="B4" s="41"/>
      <c r="C4" s="41"/>
      <c r="D4" s="41"/>
      <c r="E4" s="41"/>
      <c r="F4" s="41" t="s">
        <v>2</v>
      </c>
      <c r="H4" s="41"/>
      <c r="I4" s="41"/>
      <c r="J4" s="41"/>
      <c r="K4" s="41"/>
      <c r="L4" s="41"/>
    </row>
    <row r="5" spans="2:12" ht="11.25">
      <c r="B5" s="40"/>
      <c r="C5" s="40"/>
      <c r="D5" s="40"/>
      <c r="E5" s="40"/>
      <c r="F5" s="40" t="s">
        <v>3</v>
      </c>
      <c r="H5" s="40"/>
      <c r="I5" s="40"/>
      <c r="J5" s="40"/>
      <c r="K5" s="40"/>
      <c r="L5" s="40"/>
    </row>
    <row r="6" spans="1:12" ht="11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8">
        <v>2001</v>
      </c>
      <c r="D8" s="48"/>
      <c r="E8" s="48"/>
      <c r="F8" s="49"/>
      <c r="G8" s="47">
        <v>2000</v>
      </c>
      <c r="H8" s="48"/>
      <c r="I8" s="48"/>
      <c r="J8" s="49"/>
      <c r="K8" s="47" t="s">
        <v>4</v>
      </c>
      <c r="L8" s="49"/>
    </row>
    <row r="9" spans="1:12" s="4" customFormat="1" ht="11.25">
      <c r="A9" s="42"/>
      <c r="B9" s="42"/>
      <c r="C9" s="42" t="s">
        <v>5</v>
      </c>
      <c r="D9" s="42" t="s">
        <v>6</v>
      </c>
      <c r="E9" s="42" t="s">
        <v>7</v>
      </c>
      <c r="F9" s="42" t="s">
        <v>8</v>
      </c>
      <c r="G9" s="43" t="s">
        <v>5</v>
      </c>
      <c r="H9" s="42" t="s">
        <v>6</v>
      </c>
      <c r="I9" s="42" t="s">
        <v>7</v>
      </c>
      <c r="J9" s="44" t="s">
        <v>8</v>
      </c>
      <c r="K9" s="45" t="s">
        <v>9</v>
      </c>
      <c r="L9" s="46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1291261</v>
      </c>
      <c r="D11" s="8">
        <v>1223468</v>
      </c>
      <c r="E11" s="8">
        <v>1202732</v>
      </c>
      <c r="F11" s="8">
        <v>1172331</v>
      </c>
      <c r="G11" s="9">
        <v>1171825</v>
      </c>
      <c r="H11" s="10">
        <v>1335862</v>
      </c>
      <c r="I11" s="10">
        <v>1279220</v>
      </c>
      <c r="J11" s="11">
        <v>1188440</v>
      </c>
      <c r="K11" s="9">
        <v>1136001</v>
      </c>
      <c r="L11" s="11">
        <v>753127</v>
      </c>
    </row>
    <row r="12" spans="1:12" ht="11.25">
      <c r="A12" s="1" t="s">
        <v>13</v>
      </c>
      <c r="C12" s="8">
        <v>185573</v>
      </c>
      <c r="D12" s="8">
        <v>150357</v>
      </c>
      <c r="E12" s="8">
        <v>151989</v>
      </c>
      <c r="F12" s="8">
        <v>155370</v>
      </c>
      <c r="G12" s="9">
        <v>182620</v>
      </c>
      <c r="H12" s="10">
        <v>143012</v>
      </c>
      <c r="I12" s="10">
        <v>134417</v>
      </c>
      <c r="J12" s="11">
        <v>125404</v>
      </c>
      <c r="K12" s="9">
        <v>150222</v>
      </c>
      <c r="L12" s="11">
        <v>106572</v>
      </c>
    </row>
    <row r="13" spans="1:12" ht="11.25">
      <c r="A13" s="1" t="s">
        <v>14</v>
      </c>
      <c r="C13" s="8">
        <f aca="true" t="shared" si="0" ref="C13:L13">C14+C15</f>
        <v>705683</v>
      </c>
      <c r="D13" s="8">
        <f t="shared" si="0"/>
        <v>710260</v>
      </c>
      <c r="E13" s="8">
        <f t="shared" si="0"/>
        <v>714294</v>
      </c>
      <c r="F13" s="8">
        <f t="shared" si="0"/>
        <v>710153</v>
      </c>
      <c r="G13" s="9">
        <f t="shared" si="0"/>
        <v>687301</v>
      </c>
      <c r="H13" s="10">
        <f t="shared" si="0"/>
        <v>666718</v>
      </c>
      <c r="I13" s="10">
        <f t="shared" si="0"/>
        <v>635176</v>
      </c>
      <c r="J13" s="11">
        <f t="shared" si="0"/>
        <v>613337</v>
      </c>
      <c r="K13" s="9">
        <f t="shared" si="0"/>
        <v>570605</v>
      </c>
      <c r="L13" s="11">
        <f t="shared" si="0"/>
        <v>427599</v>
      </c>
    </row>
    <row r="14" spans="2:12" ht="11.25">
      <c r="B14" s="1" t="s">
        <v>15</v>
      </c>
      <c r="C14" s="8">
        <v>643415</v>
      </c>
      <c r="D14" s="8">
        <v>643713</v>
      </c>
      <c r="E14" s="8">
        <v>627479</v>
      </c>
      <c r="F14" s="8">
        <v>621984</v>
      </c>
      <c r="G14" s="9">
        <v>598673</v>
      </c>
      <c r="H14" s="10">
        <v>598772</v>
      </c>
      <c r="I14" s="10">
        <v>570814</v>
      </c>
      <c r="J14" s="11">
        <v>553441</v>
      </c>
      <c r="K14" s="9">
        <v>508827</v>
      </c>
      <c r="L14" s="11">
        <v>388181</v>
      </c>
    </row>
    <row r="15" spans="2:12" ht="11.25">
      <c r="B15" s="1" t="s">
        <v>16</v>
      </c>
      <c r="C15" s="8">
        <v>62268</v>
      </c>
      <c r="D15" s="8">
        <v>66547</v>
      </c>
      <c r="E15" s="8">
        <v>86815</v>
      </c>
      <c r="F15" s="8">
        <v>88169</v>
      </c>
      <c r="G15" s="9">
        <v>88628</v>
      </c>
      <c r="H15" s="10">
        <v>67946</v>
      </c>
      <c r="I15" s="10">
        <v>64362</v>
      </c>
      <c r="J15" s="11">
        <v>59896</v>
      </c>
      <c r="K15" s="9">
        <v>61778</v>
      </c>
      <c r="L15" s="11">
        <v>39418</v>
      </c>
    </row>
    <row r="16" spans="1:12" ht="11.25">
      <c r="A16" s="1" t="s">
        <v>17</v>
      </c>
      <c r="C16" s="8">
        <v>352701</v>
      </c>
      <c r="D16" s="8">
        <v>315746</v>
      </c>
      <c r="E16" s="8">
        <v>289345</v>
      </c>
      <c r="F16" s="8">
        <v>263723</v>
      </c>
      <c r="G16" s="9">
        <v>255717</v>
      </c>
      <c r="H16" s="10">
        <v>359567</v>
      </c>
      <c r="I16" s="10">
        <v>354684</v>
      </c>
      <c r="J16" s="11">
        <v>317394</v>
      </c>
      <c r="K16" s="9">
        <v>309664</v>
      </c>
      <c r="L16" s="11">
        <v>196336</v>
      </c>
    </row>
    <row r="17" spans="1:12" ht="11.25">
      <c r="A17" s="1" t="s">
        <v>18</v>
      </c>
      <c r="C17" s="8">
        <f aca="true" t="shared" si="1" ref="C17:L17">C18+C22</f>
        <v>820855</v>
      </c>
      <c r="D17" s="8">
        <f t="shared" si="1"/>
        <v>757690</v>
      </c>
      <c r="E17" s="8">
        <f t="shared" si="1"/>
        <v>752479</v>
      </c>
      <c r="F17" s="8">
        <f t="shared" si="1"/>
        <v>704959</v>
      </c>
      <c r="G17" s="9">
        <f t="shared" si="1"/>
        <v>701183</v>
      </c>
      <c r="H17" s="10">
        <f t="shared" si="1"/>
        <v>666436</v>
      </c>
      <c r="I17" s="10">
        <f t="shared" si="1"/>
        <v>622777</v>
      </c>
      <c r="J17" s="11">
        <f t="shared" si="1"/>
        <v>602619</v>
      </c>
      <c r="K17" s="9">
        <f t="shared" si="1"/>
        <v>611940</v>
      </c>
      <c r="L17" s="11">
        <f t="shared" si="1"/>
        <v>478583</v>
      </c>
    </row>
    <row r="18" spans="2:12" ht="11.25">
      <c r="B18" s="1" t="s">
        <v>15</v>
      </c>
      <c r="C18" s="8">
        <f aca="true" t="shared" si="2" ref="C18:L18">SUM(C19:C21)</f>
        <v>718061</v>
      </c>
      <c r="D18" s="8">
        <f t="shared" si="2"/>
        <v>680001</v>
      </c>
      <c r="E18" s="8">
        <f t="shared" si="2"/>
        <v>641708</v>
      </c>
      <c r="F18" s="8">
        <f t="shared" si="2"/>
        <v>636955</v>
      </c>
      <c r="G18" s="9">
        <f t="shared" si="2"/>
        <v>652145</v>
      </c>
      <c r="H18" s="10">
        <f t="shared" si="2"/>
        <v>623638</v>
      </c>
      <c r="I18" s="10">
        <f t="shared" si="2"/>
        <v>583934</v>
      </c>
      <c r="J18" s="11">
        <f t="shared" si="2"/>
        <v>554428</v>
      </c>
      <c r="K18" s="9">
        <f t="shared" si="2"/>
        <v>554614</v>
      </c>
      <c r="L18" s="11">
        <f t="shared" si="2"/>
        <v>435648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633605</v>
      </c>
      <c r="D20" s="8">
        <v>567462</v>
      </c>
      <c r="E20" s="8">
        <v>528489</v>
      </c>
      <c r="F20" s="8">
        <v>519344</v>
      </c>
      <c r="G20" s="9">
        <v>508391</v>
      </c>
      <c r="H20" s="10">
        <v>467313</v>
      </c>
      <c r="I20" s="10">
        <v>461656</v>
      </c>
      <c r="J20" s="11">
        <v>455009</v>
      </c>
      <c r="K20" s="9">
        <v>439010</v>
      </c>
      <c r="L20" s="11">
        <v>334448</v>
      </c>
    </row>
    <row r="21" spans="2:12" ht="11.25">
      <c r="B21" s="1" t="s">
        <v>21</v>
      </c>
      <c r="C21" s="8">
        <v>84456</v>
      </c>
      <c r="D21" s="8">
        <v>112539</v>
      </c>
      <c r="E21" s="8">
        <v>113219</v>
      </c>
      <c r="F21" s="8">
        <v>117611</v>
      </c>
      <c r="G21" s="9">
        <v>143754</v>
      </c>
      <c r="H21" s="10">
        <v>156325</v>
      </c>
      <c r="I21" s="10">
        <v>122278</v>
      </c>
      <c r="J21" s="11">
        <v>99419</v>
      </c>
      <c r="K21" s="9">
        <v>115604</v>
      </c>
      <c r="L21" s="11">
        <v>101200</v>
      </c>
    </row>
    <row r="22" spans="2:12" ht="11.25">
      <c r="B22" s="1" t="s">
        <v>16</v>
      </c>
      <c r="C22" s="8">
        <f aca="true" t="shared" si="3" ref="C22:L22">SUM(C23:C24)</f>
        <v>102794</v>
      </c>
      <c r="D22" s="8">
        <f t="shared" si="3"/>
        <v>77689</v>
      </c>
      <c r="E22" s="8">
        <f t="shared" si="3"/>
        <v>110771</v>
      </c>
      <c r="F22" s="8">
        <f t="shared" si="3"/>
        <v>68004</v>
      </c>
      <c r="G22" s="9">
        <f t="shared" si="3"/>
        <v>49038</v>
      </c>
      <c r="H22" s="10">
        <f t="shared" si="3"/>
        <v>42798</v>
      </c>
      <c r="I22" s="10">
        <f t="shared" si="3"/>
        <v>38843</v>
      </c>
      <c r="J22" s="11">
        <f t="shared" si="3"/>
        <v>48191</v>
      </c>
      <c r="K22" s="9">
        <f t="shared" si="3"/>
        <v>57326</v>
      </c>
      <c r="L22" s="11">
        <f t="shared" si="3"/>
        <v>42935</v>
      </c>
    </row>
    <row r="23" spans="2:12" ht="11.25">
      <c r="B23" s="1" t="s">
        <v>20</v>
      </c>
      <c r="C23" s="8">
        <v>95537</v>
      </c>
      <c r="D23" s="8">
        <v>75792</v>
      </c>
      <c r="E23" s="8">
        <v>100952</v>
      </c>
      <c r="F23" s="8">
        <v>60097</v>
      </c>
      <c r="G23" s="9">
        <v>39476</v>
      </c>
      <c r="H23" s="10">
        <v>34334</v>
      </c>
      <c r="I23" s="10">
        <v>35420</v>
      </c>
      <c r="J23" s="11">
        <v>33474</v>
      </c>
      <c r="K23" s="9">
        <v>44627</v>
      </c>
      <c r="L23" s="11">
        <v>31039</v>
      </c>
    </row>
    <row r="24" spans="2:12" ht="11.25">
      <c r="B24" s="1" t="s">
        <v>21</v>
      </c>
      <c r="C24" s="8">
        <v>7257</v>
      </c>
      <c r="D24" s="8">
        <v>1897</v>
      </c>
      <c r="E24" s="8">
        <v>9819</v>
      </c>
      <c r="F24" s="8">
        <v>7907</v>
      </c>
      <c r="G24" s="9">
        <v>9562</v>
      </c>
      <c r="H24" s="10">
        <v>8464</v>
      </c>
      <c r="I24" s="10">
        <v>3423</v>
      </c>
      <c r="J24" s="11">
        <v>14717</v>
      </c>
      <c r="K24" s="9">
        <v>12699</v>
      </c>
      <c r="L24" s="11">
        <v>11896</v>
      </c>
    </row>
    <row r="25" spans="1:12" ht="11.25">
      <c r="A25" s="2" t="s">
        <v>22</v>
      </c>
      <c r="B25" s="2"/>
      <c r="C25" s="12">
        <v>116725</v>
      </c>
      <c r="D25" s="12">
        <v>115955</v>
      </c>
      <c r="E25" s="12">
        <v>111385</v>
      </c>
      <c r="F25" s="12">
        <v>97797</v>
      </c>
      <c r="G25" s="13">
        <v>96937</v>
      </c>
      <c r="H25" s="12">
        <v>94570</v>
      </c>
      <c r="I25" s="12">
        <v>91900</v>
      </c>
      <c r="J25" s="14">
        <v>90799</v>
      </c>
      <c r="K25" s="13">
        <v>80810</v>
      </c>
      <c r="L25" s="14">
        <v>70180</v>
      </c>
    </row>
    <row r="26" spans="1:12" ht="11.25">
      <c r="A26" s="4" t="s">
        <v>23</v>
      </c>
      <c r="C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1231543</v>
      </c>
      <c r="D27" s="8">
        <f>(D11+H11)/2</f>
        <v>1279665</v>
      </c>
      <c r="E27" s="8">
        <f>(E11+I11)/2</f>
        <v>1240976</v>
      </c>
      <c r="F27" s="8">
        <f>+(F11+J11)/2</f>
        <v>1180385.5</v>
      </c>
      <c r="G27" s="9">
        <f>+(G11+K11)/2</f>
        <v>1153913</v>
      </c>
      <c r="H27" s="10">
        <v>1118527</v>
      </c>
      <c r="I27" s="10">
        <v>1094166</v>
      </c>
      <c r="J27" s="11">
        <v>983323</v>
      </c>
      <c r="K27" s="9">
        <f>(K11+L11)/2</f>
        <v>944564</v>
      </c>
      <c r="L27" s="11">
        <f>(L11+594513)/2</f>
        <v>673820</v>
      </c>
    </row>
    <row r="28" spans="1:12" ht="11.25">
      <c r="A28" s="1" t="s">
        <v>24</v>
      </c>
      <c r="C28" s="8">
        <f aca="true" t="shared" si="4" ref="C28:L28">C29+C30</f>
        <v>1000701</v>
      </c>
      <c r="D28" s="8">
        <f t="shared" si="4"/>
        <v>1026145.5</v>
      </c>
      <c r="E28" s="8">
        <f t="shared" si="4"/>
        <v>996749.5</v>
      </c>
      <c r="F28" s="8">
        <f t="shared" si="4"/>
        <v>952303.5</v>
      </c>
      <c r="G28" s="9">
        <f t="shared" si="4"/>
        <v>911643.5</v>
      </c>
      <c r="H28" s="10">
        <f t="shared" si="4"/>
        <v>983336</v>
      </c>
      <c r="I28" s="10">
        <f t="shared" si="4"/>
        <v>936677</v>
      </c>
      <c r="J28" s="11">
        <f t="shared" si="4"/>
        <v>850001</v>
      </c>
      <c r="K28" s="9">
        <f t="shared" si="4"/>
        <v>752102</v>
      </c>
      <c r="L28" s="11">
        <f t="shared" si="4"/>
        <v>539635.5</v>
      </c>
    </row>
    <row r="29" spans="2:12" ht="11.25">
      <c r="B29" s="1" t="s">
        <v>14</v>
      </c>
      <c r="C29" s="8">
        <f>(C13+G13)/2</f>
        <v>696492</v>
      </c>
      <c r="D29" s="8">
        <f>(D13+H13)/2</f>
        <v>688489</v>
      </c>
      <c r="E29" s="8">
        <f>(E13+I13)/2</f>
        <v>674735</v>
      </c>
      <c r="F29" s="8">
        <f>+(F13+J13)/2</f>
        <v>661745</v>
      </c>
      <c r="G29" s="9">
        <f>+(G13+K13)/2</f>
        <v>628953</v>
      </c>
      <c r="H29" s="10">
        <v>659135</v>
      </c>
      <c r="I29" s="10">
        <v>612011</v>
      </c>
      <c r="J29" s="11">
        <v>589007</v>
      </c>
      <c r="K29" s="9">
        <f>(K13+L13)/2</f>
        <v>499102</v>
      </c>
      <c r="L29" s="11">
        <f>(L13+372058)/2</f>
        <v>399828.5</v>
      </c>
    </row>
    <row r="30" spans="2:12" ht="11.25">
      <c r="B30" s="1" t="s">
        <v>17</v>
      </c>
      <c r="C30" s="8">
        <f>(C16+G16)/2</f>
        <v>304209</v>
      </c>
      <c r="D30" s="8">
        <f>(D16+H16)/2</f>
        <v>337656.5</v>
      </c>
      <c r="E30" s="8">
        <f>(E16+I16)/2</f>
        <v>322014.5</v>
      </c>
      <c r="F30" s="8">
        <f>+(F16+J16)/2</f>
        <v>290558.5</v>
      </c>
      <c r="G30" s="9">
        <f>+(G16+K16)/2</f>
        <v>282690.5</v>
      </c>
      <c r="H30" s="10">
        <v>324201</v>
      </c>
      <c r="I30" s="10">
        <v>324666</v>
      </c>
      <c r="J30" s="11">
        <v>260994</v>
      </c>
      <c r="K30" s="9">
        <f>(K16+L16)/2</f>
        <v>253000</v>
      </c>
      <c r="L30" s="11">
        <f>(L16+83278)/2</f>
        <v>139807</v>
      </c>
    </row>
    <row r="31" spans="1:12" ht="11.25">
      <c r="A31" s="2" t="s">
        <v>22</v>
      </c>
      <c r="B31" s="2"/>
      <c r="C31" s="12">
        <f>(C25+G25)/2</f>
        <v>106831</v>
      </c>
      <c r="D31" s="12">
        <f>(D25+H25)/2</f>
        <v>105262.5</v>
      </c>
      <c r="E31" s="12">
        <f>(E25+I25)/2</f>
        <v>101642.5</v>
      </c>
      <c r="F31" s="12">
        <f>+(F25+J25)/2</f>
        <v>94298</v>
      </c>
      <c r="G31" s="13">
        <f>+(G25+K25)/2</f>
        <v>88873.5</v>
      </c>
      <c r="H31" s="12">
        <v>87307</v>
      </c>
      <c r="I31" s="12">
        <v>83837</v>
      </c>
      <c r="J31" s="14">
        <v>78302</v>
      </c>
      <c r="K31" s="13">
        <f>(K25+L25)/2</f>
        <v>75495</v>
      </c>
      <c r="L31" s="14">
        <f>(L25+52838)/2</f>
        <v>61509</v>
      </c>
    </row>
    <row r="32" spans="1:12" ht="11.25">
      <c r="A32" s="4" t="s">
        <v>25</v>
      </c>
      <c r="C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98630</v>
      </c>
      <c r="D33" s="8">
        <v>77397</v>
      </c>
      <c r="E33" s="8">
        <v>51831</v>
      </c>
      <c r="F33" s="8">
        <v>25856</v>
      </c>
      <c r="G33" s="9">
        <v>92468</v>
      </c>
      <c r="H33" s="10">
        <v>67783</v>
      </c>
      <c r="I33" s="10">
        <v>43000</v>
      </c>
      <c r="J33" s="11">
        <v>20717</v>
      </c>
      <c r="K33" s="9">
        <v>65580</v>
      </c>
      <c r="L33" s="11">
        <v>54997</v>
      </c>
    </row>
    <row r="34" spans="1:12" ht="11.25">
      <c r="A34" s="1" t="s">
        <v>27</v>
      </c>
      <c r="C34" s="8">
        <v>65795</v>
      </c>
      <c r="D34" s="8">
        <v>50772</v>
      </c>
      <c r="E34" s="8">
        <v>34206</v>
      </c>
      <c r="F34" s="8">
        <v>17440</v>
      </c>
      <c r="G34" s="9">
        <v>61880</v>
      </c>
      <c r="H34" s="10">
        <v>44340</v>
      </c>
      <c r="I34" s="10">
        <v>27693</v>
      </c>
      <c r="J34" s="11">
        <v>13306</v>
      </c>
      <c r="K34" s="9">
        <v>42108</v>
      </c>
      <c r="L34" s="11">
        <v>34538</v>
      </c>
    </row>
    <row r="35" spans="1:12" ht="11.25">
      <c r="A35" s="1" t="s">
        <v>28</v>
      </c>
      <c r="C35" s="8">
        <f aca="true" t="shared" si="5" ref="C35:L35">C33-C34</f>
        <v>32835</v>
      </c>
      <c r="D35" s="8">
        <f t="shared" si="5"/>
        <v>26625</v>
      </c>
      <c r="E35" s="8">
        <f t="shared" si="5"/>
        <v>17625</v>
      </c>
      <c r="F35" s="8">
        <f t="shared" si="5"/>
        <v>8416</v>
      </c>
      <c r="G35" s="9">
        <f t="shared" si="5"/>
        <v>30588</v>
      </c>
      <c r="H35" s="10">
        <f t="shared" si="5"/>
        <v>23443</v>
      </c>
      <c r="I35" s="10">
        <f t="shared" si="5"/>
        <v>15307</v>
      </c>
      <c r="J35" s="11">
        <f t="shared" si="5"/>
        <v>7411</v>
      </c>
      <c r="K35" s="9">
        <f t="shared" si="5"/>
        <v>23472</v>
      </c>
      <c r="L35" s="11">
        <f t="shared" si="5"/>
        <v>20459</v>
      </c>
    </row>
    <row r="36" spans="1:12" ht="11.25">
      <c r="A36" s="1" t="s">
        <v>29</v>
      </c>
      <c r="C36" s="8">
        <v>13923</v>
      </c>
      <c r="D36" s="8">
        <v>10812</v>
      </c>
      <c r="E36" s="8">
        <v>5977</v>
      </c>
      <c r="F36" s="8">
        <v>2073</v>
      </c>
      <c r="G36" s="9">
        <v>8181</v>
      </c>
      <c r="H36" s="10">
        <v>5202</v>
      </c>
      <c r="I36" s="10">
        <v>3411</v>
      </c>
      <c r="J36" s="11">
        <v>4449</v>
      </c>
      <c r="K36" s="9">
        <v>13998</v>
      </c>
      <c r="L36" s="11">
        <v>13443</v>
      </c>
    </row>
    <row r="37" spans="1:12" ht="11.25">
      <c r="A37" s="1" t="s">
        <v>30</v>
      </c>
      <c r="C37" s="8">
        <f aca="true" t="shared" si="6" ref="C37:L37">C35+C36</f>
        <v>46758</v>
      </c>
      <c r="D37" s="8">
        <f t="shared" si="6"/>
        <v>37437</v>
      </c>
      <c r="E37" s="8">
        <f t="shared" si="6"/>
        <v>23602</v>
      </c>
      <c r="F37" s="8">
        <f t="shared" si="6"/>
        <v>10489</v>
      </c>
      <c r="G37" s="9">
        <f t="shared" si="6"/>
        <v>38769</v>
      </c>
      <c r="H37" s="10">
        <f t="shared" si="6"/>
        <v>28645</v>
      </c>
      <c r="I37" s="10">
        <f t="shared" si="6"/>
        <v>18718</v>
      </c>
      <c r="J37" s="11">
        <f t="shared" si="6"/>
        <v>11860</v>
      </c>
      <c r="K37" s="9">
        <f t="shared" si="6"/>
        <v>37470</v>
      </c>
      <c r="L37" s="11">
        <f t="shared" si="6"/>
        <v>33902</v>
      </c>
    </row>
    <row r="38" spans="1:12" ht="11.25">
      <c r="A38" s="1" t="s">
        <v>31</v>
      </c>
      <c r="C38" s="8">
        <v>23552</v>
      </c>
      <c r="D38" s="8">
        <v>16286</v>
      </c>
      <c r="E38" s="8">
        <v>11126</v>
      </c>
      <c r="F38" s="8">
        <v>5175</v>
      </c>
      <c r="G38" s="9">
        <v>17866</v>
      </c>
      <c r="H38" s="10">
        <v>13317</v>
      </c>
      <c r="I38" s="10">
        <v>8052</v>
      </c>
      <c r="J38" s="11">
        <v>3847</v>
      </c>
      <c r="K38" s="9">
        <v>20445</v>
      </c>
      <c r="L38" s="11">
        <v>19537</v>
      </c>
    </row>
    <row r="39" spans="1:12" ht="11.25">
      <c r="A39" s="1" t="s">
        <v>32</v>
      </c>
      <c r="C39" s="8">
        <f aca="true" t="shared" si="7" ref="C39:L39">C37-C38</f>
        <v>23206</v>
      </c>
      <c r="D39" s="8">
        <f t="shared" si="7"/>
        <v>21151</v>
      </c>
      <c r="E39" s="8">
        <f t="shared" si="7"/>
        <v>12476</v>
      </c>
      <c r="F39" s="8">
        <f t="shared" si="7"/>
        <v>5314</v>
      </c>
      <c r="G39" s="9">
        <f t="shared" si="7"/>
        <v>20903</v>
      </c>
      <c r="H39" s="10">
        <f t="shared" si="7"/>
        <v>15328</v>
      </c>
      <c r="I39" s="10">
        <f t="shared" si="7"/>
        <v>10666</v>
      </c>
      <c r="J39" s="11">
        <f t="shared" si="7"/>
        <v>8013</v>
      </c>
      <c r="K39" s="9">
        <f t="shared" si="7"/>
        <v>17025</v>
      </c>
      <c r="L39" s="11">
        <f t="shared" si="7"/>
        <v>14365</v>
      </c>
    </row>
    <row r="40" spans="1:12" ht="11.25">
      <c r="A40" s="2" t="s">
        <v>33</v>
      </c>
      <c r="B40" s="2"/>
      <c r="C40" s="12">
        <v>15646</v>
      </c>
      <c r="D40" s="12">
        <v>14741</v>
      </c>
      <c r="E40" s="12">
        <v>8476</v>
      </c>
      <c r="F40" s="12">
        <v>3515</v>
      </c>
      <c r="G40" s="13">
        <v>16438</v>
      </c>
      <c r="H40" s="12">
        <v>12853</v>
      </c>
      <c r="I40" s="12">
        <v>9016</v>
      </c>
      <c r="J40" s="14">
        <v>6663</v>
      </c>
      <c r="K40" s="13">
        <v>12225</v>
      </c>
      <c r="L40" s="14">
        <v>9406</v>
      </c>
    </row>
    <row r="41" spans="1:12" ht="11.25">
      <c r="A41" s="4" t="s">
        <v>34</v>
      </c>
      <c r="C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11527</v>
      </c>
      <c r="D42" s="8">
        <v>16476</v>
      </c>
      <c r="E42" s="8">
        <v>13821</v>
      </c>
      <c r="F42" s="8">
        <v>13518</v>
      </c>
      <c r="G42" s="9">
        <v>11019</v>
      </c>
      <c r="H42" s="10">
        <v>11823</v>
      </c>
      <c r="I42" s="10">
        <v>7207</v>
      </c>
      <c r="J42" s="11">
        <v>8607</v>
      </c>
      <c r="K42" s="9">
        <v>7038</v>
      </c>
      <c r="L42" s="11">
        <v>5571</v>
      </c>
    </row>
    <row r="43" spans="1:12" ht="11.25">
      <c r="A43" s="1" t="s">
        <v>36</v>
      </c>
      <c r="C43" s="8">
        <v>14569</v>
      </c>
      <c r="D43" s="8">
        <v>18132</v>
      </c>
      <c r="E43" s="8">
        <v>15716</v>
      </c>
      <c r="F43" s="8">
        <v>15246</v>
      </c>
      <c r="G43" s="15">
        <v>13780</v>
      </c>
      <c r="H43" s="16">
        <v>13409</v>
      </c>
      <c r="I43" s="16">
        <v>12478</v>
      </c>
      <c r="J43" s="17">
        <v>12209</v>
      </c>
      <c r="K43" s="15">
        <v>10888</v>
      </c>
      <c r="L43" s="17">
        <v>6635</v>
      </c>
    </row>
    <row r="44" spans="1:12" ht="11.25">
      <c r="A44" s="1" t="s">
        <v>37</v>
      </c>
      <c r="C44" s="18">
        <f aca="true" t="shared" si="8" ref="C44:L44">C42/C13</f>
        <v>0.01633452981012721</v>
      </c>
      <c r="D44" s="18">
        <f t="shared" si="8"/>
        <v>0.023197139075831385</v>
      </c>
      <c r="E44" s="18">
        <f t="shared" si="8"/>
        <v>0.019349175549563623</v>
      </c>
      <c r="F44" s="18">
        <f t="shared" si="8"/>
        <v>0.019035334639155223</v>
      </c>
      <c r="G44" s="19">
        <f t="shared" si="8"/>
        <v>0.016032276979081946</v>
      </c>
      <c r="H44" s="20">
        <f t="shared" si="8"/>
        <v>0.017733134548639756</v>
      </c>
      <c r="I44" s="20">
        <f t="shared" si="8"/>
        <v>0.011346461453203522</v>
      </c>
      <c r="J44" s="21">
        <f t="shared" si="8"/>
        <v>0.014033068280570061</v>
      </c>
      <c r="K44" s="19">
        <f t="shared" si="8"/>
        <v>0.012334276776403993</v>
      </c>
      <c r="L44" s="21">
        <f t="shared" si="8"/>
        <v>0.013028561806739492</v>
      </c>
    </row>
    <row r="45" spans="1:12" ht="11.25">
      <c r="A45" s="1" t="s">
        <v>38</v>
      </c>
      <c r="C45" s="18">
        <f aca="true" t="shared" si="9" ref="C45:L45">C43/C42</f>
        <v>1.2639021427951767</v>
      </c>
      <c r="D45" s="18">
        <f t="shared" si="9"/>
        <v>1.1005098324836124</v>
      </c>
      <c r="E45" s="18">
        <f t="shared" si="9"/>
        <v>1.137110194631358</v>
      </c>
      <c r="F45" s="18">
        <f t="shared" si="9"/>
        <v>1.1278295605858855</v>
      </c>
      <c r="G45" s="19">
        <f t="shared" si="9"/>
        <v>1.2505672021054541</v>
      </c>
      <c r="H45" s="20">
        <f t="shared" si="9"/>
        <v>1.1341453099890044</v>
      </c>
      <c r="I45" s="20">
        <f t="shared" si="9"/>
        <v>1.7313722769529625</v>
      </c>
      <c r="J45" s="21">
        <f t="shared" si="9"/>
        <v>1.418496572557221</v>
      </c>
      <c r="K45" s="19">
        <f t="shared" si="9"/>
        <v>1.5470304063654448</v>
      </c>
      <c r="L45" s="21">
        <f t="shared" si="9"/>
        <v>1.1909890504397773</v>
      </c>
    </row>
    <row r="46" spans="1:12" ht="11.25">
      <c r="A46" s="2" t="s">
        <v>39</v>
      </c>
      <c r="B46" s="2"/>
      <c r="C46" s="22">
        <f aca="true" t="shared" si="10" ref="C46:L46">C43/C13</f>
        <v>0.02064524722857147</v>
      </c>
      <c r="D46" s="22">
        <f t="shared" si="10"/>
        <v>0.02552867963844226</v>
      </c>
      <c r="E46" s="22">
        <f t="shared" si="10"/>
        <v>0.022002144775120608</v>
      </c>
      <c r="F46" s="22">
        <f t="shared" si="10"/>
        <v>0.02146861310168372</v>
      </c>
      <c r="G46" s="23">
        <f t="shared" si="10"/>
        <v>0.020049439765110193</v>
      </c>
      <c r="H46" s="22">
        <f t="shared" si="10"/>
        <v>0.02011195137974376</v>
      </c>
      <c r="I46" s="22">
        <f t="shared" si="10"/>
        <v>0.019644948801592</v>
      </c>
      <c r="J46" s="24">
        <f t="shared" si="10"/>
        <v>0.019905859258450086</v>
      </c>
      <c r="K46" s="23">
        <f t="shared" si="10"/>
        <v>0.019081501213624136</v>
      </c>
      <c r="L46" s="24">
        <f t="shared" si="10"/>
        <v>0.015516874454804618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0.11028605874616396</v>
      </c>
      <c r="D48" s="18">
        <f t="shared" si="11"/>
        <v>0.11301590828903535</v>
      </c>
      <c r="E48" s="18">
        <f t="shared" si="11"/>
        <v>0.11098113963287597</v>
      </c>
      <c r="F48" s="18">
        <f t="shared" si="11"/>
        <v>0.10042038206096053</v>
      </c>
      <c r="G48" s="19">
        <f t="shared" si="11"/>
        <v>0.10279443234381529</v>
      </c>
      <c r="H48" s="20">
        <f t="shared" si="11"/>
        <v>0.09214789264190747</v>
      </c>
      <c r="I48" s="20">
        <f t="shared" si="11"/>
        <v>0.09284141191683673</v>
      </c>
      <c r="J48" s="21">
        <f t="shared" si="11"/>
        <v>0.09755665170709904</v>
      </c>
      <c r="K48" s="19">
        <f t="shared" si="11"/>
        <v>0.09180148341018485</v>
      </c>
      <c r="L48" s="21">
        <f t="shared" si="11"/>
        <v>0.11247966534975598</v>
      </c>
    </row>
    <row r="49" spans="1:12" ht="11.25">
      <c r="A49" s="2" t="s">
        <v>42</v>
      </c>
      <c r="B49" s="2"/>
      <c r="C49" s="22">
        <f aca="true" t="shared" si="12" ref="C49:L49">C25/C13</f>
        <v>0.1654071303970763</v>
      </c>
      <c r="D49" s="22">
        <f t="shared" si="12"/>
        <v>0.16325711711204346</v>
      </c>
      <c r="E49" s="22">
        <f t="shared" si="12"/>
        <v>0.1559371911285829</v>
      </c>
      <c r="F49" s="22">
        <f t="shared" si="12"/>
        <v>0.13771257743049736</v>
      </c>
      <c r="G49" s="23">
        <f t="shared" si="12"/>
        <v>0.1410400974245636</v>
      </c>
      <c r="H49" s="22">
        <f t="shared" si="12"/>
        <v>0.14184407800599355</v>
      </c>
      <c r="I49" s="22">
        <f t="shared" si="12"/>
        <v>0.14468430797133394</v>
      </c>
      <c r="J49" s="24">
        <f t="shared" si="12"/>
        <v>0.14804096279859197</v>
      </c>
      <c r="K49" s="23">
        <f t="shared" si="12"/>
        <v>0.14162161214850905</v>
      </c>
      <c r="L49" s="24">
        <f t="shared" si="12"/>
        <v>0.16412573462519792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0.2260728143216524</v>
      </c>
      <c r="D51" s="25">
        <f t="shared" si="13"/>
        <v>0.1984413150496905</v>
      </c>
      <c r="E51" s="25">
        <f t="shared" si="13"/>
        <v>0.20198437431476493</v>
      </c>
      <c r="F51" s="25">
        <f t="shared" si="13"/>
        <v>0.22039579606757273</v>
      </c>
      <c r="G51" s="26">
        <f t="shared" si="13"/>
        <v>0.260445561287139</v>
      </c>
      <c r="H51" s="27">
        <f t="shared" si="13"/>
        <v>0.21459224891812567</v>
      </c>
      <c r="I51" s="27">
        <f t="shared" si="13"/>
        <v>0.21583488150654248</v>
      </c>
      <c r="J51" s="28">
        <f t="shared" si="13"/>
        <v>0.20809831751073232</v>
      </c>
      <c r="K51" s="26">
        <f t="shared" si="13"/>
        <v>0.2454848514560251</v>
      </c>
      <c r="L51" s="28">
        <f t="shared" si="13"/>
        <v>0.22268237693357265</v>
      </c>
    </row>
    <row r="52" spans="1:12" ht="11.25">
      <c r="A52" s="1" t="s">
        <v>45</v>
      </c>
      <c r="C52" s="25">
        <f aca="true" t="shared" si="14" ref="C52:L52">C12/C11</f>
        <v>0.14371455499701455</v>
      </c>
      <c r="D52" s="25">
        <f t="shared" si="14"/>
        <v>0.1228941010308402</v>
      </c>
      <c r="E52" s="25">
        <f t="shared" si="14"/>
        <v>0.12636979809300825</v>
      </c>
      <c r="F52" s="25">
        <f t="shared" si="14"/>
        <v>0.13253082960358464</v>
      </c>
      <c r="G52" s="26">
        <f t="shared" si="14"/>
        <v>0.15584238260832461</v>
      </c>
      <c r="H52" s="27">
        <f t="shared" si="14"/>
        <v>0.10705596835601282</v>
      </c>
      <c r="I52" s="27">
        <f t="shared" si="14"/>
        <v>0.10507731273744939</v>
      </c>
      <c r="J52" s="28">
        <f t="shared" si="14"/>
        <v>0.10551984113627949</v>
      </c>
      <c r="K52" s="26">
        <f t="shared" si="14"/>
        <v>0.13223755965003553</v>
      </c>
      <c r="L52" s="28">
        <f t="shared" si="14"/>
        <v>0.14150601425788745</v>
      </c>
    </row>
    <row r="53" spans="1:12" ht="11.25">
      <c r="A53" s="2" t="s">
        <v>46</v>
      </c>
      <c r="B53" s="2"/>
      <c r="C53" s="29">
        <f aca="true" t="shared" si="15" ref="C53:L53">(C12+C16)/C17</f>
        <v>0.6557479701043424</v>
      </c>
      <c r="D53" s="29">
        <f t="shared" si="15"/>
        <v>0.6151631933904367</v>
      </c>
      <c r="E53" s="29">
        <f t="shared" si="15"/>
        <v>0.5865067330782653</v>
      </c>
      <c r="F53" s="29">
        <f t="shared" si="15"/>
        <v>0.5944927293644028</v>
      </c>
      <c r="G53" s="30">
        <f t="shared" si="15"/>
        <v>0.6251392289887233</v>
      </c>
      <c r="H53" s="29">
        <f t="shared" si="15"/>
        <v>0.7541294287823587</v>
      </c>
      <c r="I53" s="29">
        <f t="shared" si="15"/>
        <v>0.7853549504878954</v>
      </c>
      <c r="J53" s="31">
        <f t="shared" si="15"/>
        <v>0.7347893113227429</v>
      </c>
      <c r="K53" s="30">
        <f t="shared" si="15"/>
        <v>0.7515213909860444</v>
      </c>
      <c r="L53" s="31">
        <f t="shared" si="15"/>
        <v>0.6329267859493547</v>
      </c>
    </row>
    <row r="54" spans="1:11" ht="11.25">
      <c r="A54" s="4" t="s">
        <v>47</v>
      </c>
      <c r="G54" s="15"/>
      <c r="H54" s="16"/>
      <c r="I54" s="16"/>
      <c r="J54" s="17"/>
      <c r="K54" s="32"/>
    </row>
    <row r="55" spans="1:12" ht="11.25">
      <c r="A55" s="1" t="s">
        <v>48</v>
      </c>
      <c r="B55" s="16"/>
      <c r="C55" s="20">
        <f>(C40)/C28</f>
        <v>0.015635039837074212</v>
      </c>
      <c r="D55" s="18">
        <f>((D40)/0.75)/D28</f>
        <v>0.01915387892522714</v>
      </c>
      <c r="E55" s="18">
        <f>((E40)/0.5)/E28</f>
        <v>0.01700728217069585</v>
      </c>
      <c r="F55" s="18">
        <f>((F40)/0.25)/F28</f>
        <v>0.014764200698621815</v>
      </c>
      <c r="G55" s="19">
        <f>(G40)/G28</f>
        <v>0.01803117117601343</v>
      </c>
      <c r="H55" s="20">
        <f>((H40)/0.75)/H28</f>
        <v>0.01742774934847634</v>
      </c>
      <c r="I55" s="20">
        <f>((I40)/0.5)/I28</f>
        <v>0.01925103317365538</v>
      </c>
      <c r="J55" s="21">
        <f>((J40)/0.25)/J28</f>
        <v>0.03135525722910914</v>
      </c>
      <c r="K55" s="19">
        <f>K40/K28</f>
        <v>0.01625444421102457</v>
      </c>
      <c r="L55" s="18">
        <f>L40/L28</f>
        <v>0.017430283960191646</v>
      </c>
    </row>
    <row r="56" spans="1:12" ht="11.25">
      <c r="A56" s="1" t="s">
        <v>49</v>
      </c>
      <c r="B56" s="16"/>
      <c r="C56" s="20">
        <f>(C40)/C27</f>
        <v>0.012704387910125754</v>
      </c>
      <c r="D56" s="18">
        <f>((D40)/0.75)/D27</f>
        <v>0.015359228131320828</v>
      </c>
      <c r="E56" s="18">
        <f>((E40)/0.5)/E27</f>
        <v>0.013660215830120809</v>
      </c>
      <c r="F56" s="18">
        <f>((F40)/0.25)/F27</f>
        <v>0.01191136285560946</v>
      </c>
      <c r="G56" s="19">
        <f>(G40)/G27</f>
        <v>0.014245441380762674</v>
      </c>
      <c r="H56" s="20">
        <f>((H40)/0.75)/H27</f>
        <v>0.015321340775263656</v>
      </c>
      <c r="I56" s="20">
        <f>((I40)/0.5)/I27</f>
        <v>0.016480131899547234</v>
      </c>
      <c r="J56" s="21">
        <f>((J40)/0.25)/J27</f>
        <v>0.027104013635397526</v>
      </c>
      <c r="K56" s="19">
        <f>K40/K27</f>
        <v>0.012942479281446255</v>
      </c>
      <c r="L56" s="18">
        <f>L40/L27</f>
        <v>0.013959217595203468</v>
      </c>
    </row>
    <row r="57" spans="1:12" ht="11.25">
      <c r="A57" s="1" t="s">
        <v>50</v>
      </c>
      <c r="B57" s="16"/>
      <c r="C57" s="20">
        <f>(C40)/C31</f>
        <v>0.14645561681534386</v>
      </c>
      <c r="D57" s="18">
        <f>((D40)/0.75)/D31</f>
        <v>0.18672050033646045</v>
      </c>
      <c r="E57" s="18">
        <f>((E40)/0.5)/E31</f>
        <v>0.16678062818210887</v>
      </c>
      <c r="F57" s="18">
        <f>((F40)/0.25)/F31</f>
        <v>0.14910178370697152</v>
      </c>
      <c r="G57" s="19">
        <f>(G40)/G31</f>
        <v>0.1849595211170934</v>
      </c>
      <c r="H57" s="20">
        <f>((H40)/0.75)/H31</f>
        <v>0.19628819376835</v>
      </c>
      <c r="I57" s="20">
        <f>((I40)/0.5)/I31</f>
        <v>0.2150840321099276</v>
      </c>
      <c r="J57" s="21">
        <f>((J40)/0.25)/J31</f>
        <v>0.340374447651401</v>
      </c>
      <c r="K57" s="19">
        <f>K40/K31</f>
        <v>0.16193125372541228</v>
      </c>
      <c r="L57" s="18">
        <f>L40/L31</f>
        <v>0.15292071079029085</v>
      </c>
    </row>
    <row r="58" spans="1:12" ht="11.25">
      <c r="A58" s="1" t="s">
        <v>51</v>
      </c>
      <c r="B58" s="16"/>
      <c r="C58" s="20">
        <f aca="true" t="shared" si="16" ref="C58:L58">(C33)/C28</f>
        <v>0.09856090880292914</v>
      </c>
      <c r="D58" s="20">
        <f t="shared" si="16"/>
        <v>0.0754249762826032</v>
      </c>
      <c r="E58" s="20">
        <f t="shared" si="16"/>
        <v>0.052000026084788604</v>
      </c>
      <c r="F58" s="21">
        <f t="shared" si="16"/>
        <v>0.027151008055730133</v>
      </c>
      <c r="G58" s="20">
        <f t="shared" si="16"/>
        <v>0.1014299997751314</v>
      </c>
      <c r="H58" s="20">
        <f t="shared" si="16"/>
        <v>0.06893167747341702</v>
      </c>
      <c r="I58" s="20">
        <f t="shared" si="16"/>
        <v>0.04590696686264315</v>
      </c>
      <c r="J58" s="20">
        <f t="shared" si="16"/>
        <v>0.02437291250245588</v>
      </c>
      <c r="K58" s="19">
        <f t="shared" si="16"/>
        <v>0.08719561974306676</v>
      </c>
      <c r="L58" s="20">
        <f t="shared" si="16"/>
        <v>0.10191508898135872</v>
      </c>
    </row>
    <row r="59" spans="1:12" ht="11.25">
      <c r="A59" s="1" t="s">
        <v>52</v>
      </c>
      <c r="B59" s="16"/>
      <c r="C59" s="20">
        <f aca="true" t="shared" si="17" ref="C59:L59">(C34)/C28</f>
        <v>0.06574891001408013</v>
      </c>
      <c r="D59" s="20">
        <f t="shared" si="17"/>
        <v>0.04947836344845833</v>
      </c>
      <c r="E59" s="20">
        <f t="shared" si="17"/>
        <v>0.03431754919365397</v>
      </c>
      <c r="F59" s="21">
        <f t="shared" si="17"/>
        <v>0.018313489344520942</v>
      </c>
      <c r="G59" s="20">
        <f t="shared" si="17"/>
        <v>0.06787741041317137</v>
      </c>
      <c r="H59" s="20">
        <f t="shared" si="17"/>
        <v>0.04509140314195758</v>
      </c>
      <c r="I59" s="20">
        <f t="shared" si="17"/>
        <v>0.029565154263422717</v>
      </c>
      <c r="J59" s="20">
        <f t="shared" si="17"/>
        <v>0.015654099230471494</v>
      </c>
      <c r="K59" s="19">
        <f t="shared" si="17"/>
        <v>0.05598708685789959</v>
      </c>
      <c r="L59" s="20">
        <f t="shared" si="17"/>
        <v>0.06400246092038052</v>
      </c>
    </row>
    <row r="60" spans="1:12" ht="11.25">
      <c r="A60" s="1" t="s">
        <v>53</v>
      </c>
      <c r="B60" s="16"/>
      <c r="C60" s="20">
        <f aca="true" t="shared" si="18" ref="C60:L60">(C35)/C28</f>
        <v>0.032811998788849016</v>
      </c>
      <c r="D60" s="20">
        <f t="shared" si="18"/>
        <v>0.025946612834144865</v>
      </c>
      <c r="E60" s="20">
        <f t="shared" si="18"/>
        <v>0.017682476891134634</v>
      </c>
      <c r="F60" s="21">
        <f t="shared" si="18"/>
        <v>0.00883751871120919</v>
      </c>
      <c r="G60" s="20">
        <f t="shared" si="18"/>
        <v>0.03355258936196002</v>
      </c>
      <c r="H60" s="20">
        <f t="shared" si="18"/>
        <v>0.02384027433145944</v>
      </c>
      <c r="I60" s="20">
        <f t="shared" si="18"/>
        <v>0.016341812599220434</v>
      </c>
      <c r="J60" s="20">
        <f t="shared" si="18"/>
        <v>0.008718813271984385</v>
      </c>
      <c r="K60" s="19">
        <f t="shared" si="18"/>
        <v>0.031208532885167173</v>
      </c>
      <c r="L60" s="20">
        <f t="shared" si="18"/>
        <v>0.0379126280609782</v>
      </c>
    </row>
    <row r="61" spans="1:12" ht="11.25">
      <c r="A61" s="1" t="s">
        <v>54</v>
      </c>
      <c r="B61" s="16"/>
      <c r="C61" s="20">
        <f>(C38)/(C37)</f>
        <v>0.503699901621113</v>
      </c>
      <c r="D61" s="20">
        <f>(D38/0.75)/(D37/0.75)</f>
        <v>0.4350241739455619</v>
      </c>
      <c r="E61" s="20">
        <f>(E38/0.5)/(E37/0.5)</f>
        <v>0.47140072875180067</v>
      </c>
      <c r="F61" s="21">
        <f>(F38/0.25)/(F37/0.25)</f>
        <v>0.49337401086852894</v>
      </c>
      <c r="G61" s="20">
        <f>(G38)/(G37)</f>
        <v>0.46083210812762776</v>
      </c>
      <c r="H61" s="20">
        <f>((H38)/0.75)/((H37)/0.75)</f>
        <v>0.4648978879385582</v>
      </c>
      <c r="I61" s="20">
        <f>((I38)/0.5)/((I37)/0.5)</f>
        <v>0.43017416390640023</v>
      </c>
      <c r="J61" s="21">
        <f>(J38/0.25)/(J37/0.25)</f>
        <v>0.32436762225969645</v>
      </c>
      <c r="K61" s="19">
        <f>K38/K37</f>
        <v>0.5456365092073658</v>
      </c>
      <c r="L61" s="18">
        <f>L38/L37</f>
        <v>0.5762786856232671</v>
      </c>
    </row>
    <row r="62" spans="1:12" ht="11.25">
      <c r="A62" s="2" t="s">
        <v>55</v>
      </c>
      <c r="B62" s="2"/>
      <c r="C62" s="22">
        <f aca="true" t="shared" si="19" ref="C62:L62">(C36)/C28</f>
        <v>0.013913246813983397</v>
      </c>
      <c r="D62" s="22">
        <f t="shared" si="19"/>
        <v>0.010536517482169926</v>
      </c>
      <c r="E62" s="22">
        <f t="shared" si="19"/>
        <v>0.005996491595932579</v>
      </c>
      <c r="F62" s="24">
        <f t="shared" si="19"/>
        <v>0.002176827030458252</v>
      </c>
      <c r="G62" s="22">
        <f t="shared" si="19"/>
        <v>0.008973902627507354</v>
      </c>
      <c r="H62" s="22">
        <f t="shared" si="19"/>
        <v>0.005290155145341978</v>
      </c>
      <c r="I62" s="22">
        <f t="shared" si="19"/>
        <v>0.0036415968364761813</v>
      </c>
      <c r="J62" s="22">
        <f t="shared" si="19"/>
        <v>0.005234111489280601</v>
      </c>
      <c r="K62" s="23">
        <f t="shared" si="19"/>
        <v>0.01861183722420629</v>
      </c>
      <c r="L62" s="22">
        <f t="shared" si="19"/>
        <v>0.024911259544637073</v>
      </c>
    </row>
    <row r="63" spans="1:11" ht="11.25">
      <c r="A63" s="4" t="s">
        <v>56</v>
      </c>
      <c r="B63" s="16"/>
      <c r="G63" s="15"/>
      <c r="H63" s="16"/>
      <c r="I63" s="16"/>
      <c r="J63" s="17"/>
      <c r="K63" s="15"/>
    </row>
    <row r="64" spans="1:12" ht="11.25">
      <c r="A64" s="1" t="s">
        <v>57</v>
      </c>
      <c r="B64" s="16"/>
      <c r="C64" s="8">
        <v>528</v>
      </c>
      <c r="D64" s="8">
        <v>527</v>
      </c>
      <c r="E64" s="8">
        <v>513</v>
      </c>
      <c r="F64" s="8">
        <v>500</v>
      </c>
      <c r="G64" s="9">
        <v>503</v>
      </c>
      <c r="H64" s="10">
        <v>501</v>
      </c>
      <c r="I64" s="10">
        <v>509</v>
      </c>
      <c r="J64" s="11">
        <v>482</v>
      </c>
      <c r="K64" s="9">
        <v>486</v>
      </c>
      <c r="L64" s="8">
        <v>307</v>
      </c>
    </row>
    <row r="65" spans="1:12" ht="11.25">
      <c r="A65" s="1" t="s">
        <v>58</v>
      </c>
      <c r="B65" s="16"/>
      <c r="C65" s="8">
        <v>6</v>
      </c>
      <c r="D65" s="8">
        <v>6</v>
      </c>
      <c r="E65" s="8">
        <v>6</v>
      </c>
      <c r="F65" s="8">
        <v>6</v>
      </c>
      <c r="G65" s="9">
        <v>6</v>
      </c>
      <c r="H65" s="10">
        <v>6</v>
      </c>
      <c r="I65" s="10">
        <v>6</v>
      </c>
      <c r="J65" s="11">
        <v>6</v>
      </c>
      <c r="K65" s="9">
        <v>6</v>
      </c>
      <c r="L65" s="8">
        <v>6</v>
      </c>
    </row>
    <row r="66" spans="1:12" ht="11.25">
      <c r="A66" s="1" t="s">
        <v>59</v>
      </c>
      <c r="B66" s="16"/>
      <c r="C66" s="33">
        <f aca="true" t="shared" si="20" ref="C66:L66">C13/C64</f>
        <v>1336.5208333333333</v>
      </c>
      <c r="D66" s="33">
        <f t="shared" si="20"/>
        <v>1347.741935483871</v>
      </c>
      <c r="E66" s="33">
        <f t="shared" si="20"/>
        <v>1392.3859649122808</v>
      </c>
      <c r="F66" s="33">
        <f t="shared" si="20"/>
        <v>1420.306</v>
      </c>
      <c r="G66" s="34">
        <f t="shared" si="20"/>
        <v>1366.403578528827</v>
      </c>
      <c r="H66" s="35">
        <f t="shared" si="20"/>
        <v>1330.7744510978043</v>
      </c>
      <c r="I66" s="35">
        <f t="shared" si="20"/>
        <v>1247.8899803536347</v>
      </c>
      <c r="J66" s="36">
        <f t="shared" si="20"/>
        <v>1272.4834024896265</v>
      </c>
      <c r="K66" s="34">
        <f t="shared" si="20"/>
        <v>1174.0843621399176</v>
      </c>
      <c r="L66" s="33">
        <f t="shared" si="20"/>
        <v>1392.8306188925083</v>
      </c>
    </row>
    <row r="67" spans="1:12" ht="11.25">
      <c r="A67" s="1" t="s">
        <v>60</v>
      </c>
      <c r="B67" s="16"/>
      <c r="C67" s="33">
        <f aca="true" t="shared" si="21" ref="C67:L67">C17/C64</f>
        <v>1554.6496212121212</v>
      </c>
      <c r="D67" s="33">
        <f t="shared" si="21"/>
        <v>1437.741935483871</v>
      </c>
      <c r="E67" s="33">
        <f t="shared" si="21"/>
        <v>1466.8206627680313</v>
      </c>
      <c r="F67" s="33">
        <f t="shared" si="21"/>
        <v>1409.918</v>
      </c>
      <c r="G67" s="34">
        <f t="shared" si="21"/>
        <v>1394.0019880715706</v>
      </c>
      <c r="H67" s="35">
        <f t="shared" si="21"/>
        <v>1330.2115768463075</v>
      </c>
      <c r="I67" s="35">
        <f t="shared" si="21"/>
        <v>1223.5304518664047</v>
      </c>
      <c r="J67" s="36">
        <f t="shared" si="21"/>
        <v>1250.246887966805</v>
      </c>
      <c r="K67" s="34">
        <f t="shared" si="21"/>
        <v>1259.1358024691358</v>
      </c>
      <c r="L67" s="33">
        <f t="shared" si="21"/>
        <v>1558.902280130293</v>
      </c>
    </row>
    <row r="68" spans="1:12" ht="11.25">
      <c r="A68" s="2" t="s">
        <v>61</v>
      </c>
      <c r="B68" s="2"/>
      <c r="C68" s="37">
        <f aca="true" t="shared" si="22" ref="C68:L68">C40/C64</f>
        <v>29.632575757575758</v>
      </c>
      <c r="D68" s="37">
        <f t="shared" si="22"/>
        <v>27.971537001897534</v>
      </c>
      <c r="E68" s="37">
        <f t="shared" si="22"/>
        <v>16.522417153996102</v>
      </c>
      <c r="F68" s="37">
        <f t="shared" si="22"/>
        <v>7.03</v>
      </c>
      <c r="G68" s="38">
        <f t="shared" si="22"/>
        <v>32.67992047713717</v>
      </c>
      <c r="H68" s="37">
        <f t="shared" si="22"/>
        <v>25.654690618762476</v>
      </c>
      <c r="I68" s="37">
        <f t="shared" si="22"/>
        <v>17.713163064833005</v>
      </c>
      <c r="J68" s="39">
        <f t="shared" si="22"/>
        <v>13.823651452282158</v>
      </c>
      <c r="K68" s="38">
        <f t="shared" si="22"/>
        <v>25.15432098765432</v>
      </c>
      <c r="L68" s="37">
        <f t="shared" si="22"/>
        <v>30.63843648208469</v>
      </c>
    </row>
    <row r="69" spans="1:11" ht="11.25">
      <c r="A69" s="4" t="s">
        <v>62</v>
      </c>
      <c r="B69" s="16"/>
      <c r="G69" s="15"/>
      <c r="H69" s="16"/>
      <c r="I69" s="16"/>
      <c r="J69" s="17"/>
      <c r="K69" s="15"/>
    </row>
    <row r="70" spans="1:12" ht="11.25">
      <c r="A70" s="1" t="s">
        <v>63</v>
      </c>
      <c r="B70" s="16"/>
      <c r="C70" s="18">
        <f>(C11-G11)/G11</f>
        <v>0.10192306871759861</v>
      </c>
      <c r="D70" s="18">
        <f>(D11-H11)/H11</f>
        <v>-0.08413593619700238</v>
      </c>
      <c r="E70" s="18">
        <f>(E11-I11)/I11</f>
        <v>-0.059792686168133706</v>
      </c>
      <c r="F70" s="18">
        <f>(F11-J11)/J11</f>
        <v>-0.01355474403419609</v>
      </c>
      <c r="G70" s="19">
        <f>(G11-K11)/K11</f>
        <v>0.031535183507760994</v>
      </c>
      <c r="H70" s="20">
        <f>(H11-901192)/I11</f>
        <v>0.33979299885867953</v>
      </c>
      <c r="I70" s="20">
        <f>(I11-909112)/909112</f>
        <v>0.40710935506296253</v>
      </c>
      <c r="J70" s="21">
        <f>(J11-782725)/782725</f>
        <v>0.5183365805359481</v>
      </c>
      <c r="K70" s="19">
        <f>(K11-L11)/L11</f>
        <v>0.5083790648854708</v>
      </c>
      <c r="L70" s="18">
        <f>(L11-594513)/594513</f>
        <v>0.26679652084983846</v>
      </c>
    </row>
    <row r="71" spans="1:12" ht="11.25">
      <c r="A71" s="1" t="s">
        <v>64</v>
      </c>
      <c r="B71" s="16"/>
      <c r="C71" s="18">
        <f aca="true" t="shared" si="23" ref="C71:G73">(C13-G13)/G13</f>
        <v>0.02674519606402435</v>
      </c>
      <c r="D71" s="18">
        <f t="shared" si="23"/>
        <v>0.06530797128621096</v>
      </c>
      <c r="E71" s="18">
        <f t="shared" si="23"/>
        <v>0.12456075166568006</v>
      </c>
      <c r="F71" s="18">
        <f t="shared" si="23"/>
        <v>0.15785123023721054</v>
      </c>
      <c r="G71" s="19">
        <f t="shared" si="23"/>
        <v>0.20451275400671218</v>
      </c>
      <c r="H71" s="20">
        <f>H13/530333-1</f>
        <v>0.25716860915688833</v>
      </c>
      <c r="I71" s="20">
        <f>I13/480712-1</f>
        <v>0.3213233703340046</v>
      </c>
      <c r="J71" s="21">
        <f>J13/466686-1</f>
        <v>0.31423912437913293</v>
      </c>
      <c r="K71" s="19">
        <f>(K13-L13)/L13</f>
        <v>0.33443950991466304</v>
      </c>
      <c r="L71" s="18">
        <f>(L13-372057)/372057</f>
        <v>0.1492835775163483</v>
      </c>
    </row>
    <row r="72" spans="2:12" ht="11.25">
      <c r="B72" s="16" t="s">
        <v>15</v>
      </c>
      <c r="C72" s="18">
        <f t="shared" si="23"/>
        <v>0.07473528954871858</v>
      </c>
      <c r="D72" s="18">
        <f t="shared" si="23"/>
        <v>0.07505527980600295</v>
      </c>
      <c r="E72" s="18">
        <f t="shared" si="23"/>
        <v>0.09927051543935503</v>
      </c>
      <c r="F72" s="18">
        <f t="shared" si="23"/>
        <v>0.1238487932769708</v>
      </c>
      <c r="G72" s="19">
        <f t="shared" si="23"/>
        <v>0.17657474937454185</v>
      </c>
      <c r="H72" s="20">
        <f>H14/494547-1</f>
        <v>0.2107484222935332</v>
      </c>
      <c r="I72" s="20">
        <f>I14/445535-1</f>
        <v>0.28118778547139955</v>
      </c>
      <c r="J72" s="21">
        <f>J14/438436-1</f>
        <v>0.2623073835177767</v>
      </c>
      <c r="K72" s="19">
        <f>(K14-L14)/L14</f>
        <v>0.3107983131580371</v>
      </c>
      <c r="L72" s="18">
        <f>(L14-324864)/324864</f>
        <v>0.19490309791174154</v>
      </c>
    </row>
    <row r="73" spans="2:12" ht="11.25">
      <c r="B73" s="16" t="s">
        <v>16</v>
      </c>
      <c r="C73" s="20">
        <f t="shared" si="23"/>
        <v>-0.2974229363180936</v>
      </c>
      <c r="D73" s="18">
        <f t="shared" si="23"/>
        <v>-0.020589880198981544</v>
      </c>
      <c r="E73" s="18">
        <f t="shared" si="23"/>
        <v>0.34885491439047883</v>
      </c>
      <c r="F73" s="18">
        <f t="shared" si="23"/>
        <v>0.4720348604247362</v>
      </c>
      <c r="G73" s="19">
        <f t="shared" si="23"/>
        <v>0.43462073877432095</v>
      </c>
      <c r="H73" s="20">
        <f>H15/35786-1</f>
        <v>0.8986754596769686</v>
      </c>
      <c r="I73" s="20">
        <f>I15/35177-1</f>
        <v>0.82966142650027</v>
      </c>
      <c r="J73" s="21">
        <f>J15/28249-1</f>
        <v>1.1202874438033206</v>
      </c>
      <c r="K73" s="19">
        <f>(K15-L15)/L15</f>
        <v>0.5672535389923385</v>
      </c>
      <c r="L73" s="18">
        <f>(L15-47228)/47228</f>
        <v>-0.16536800203269247</v>
      </c>
    </row>
    <row r="74" spans="1:12" ht="11.25">
      <c r="A74" s="1" t="s">
        <v>65</v>
      </c>
      <c r="B74" s="16"/>
      <c r="C74" s="18">
        <f aca="true" t="shared" si="24" ref="C74:G75">(C17-G17)/G17</f>
        <v>0.17067156505505696</v>
      </c>
      <c r="D74" s="18">
        <f t="shared" si="24"/>
        <v>0.1369283772185176</v>
      </c>
      <c r="E74" s="18">
        <f t="shared" si="24"/>
        <v>0.20826395322884436</v>
      </c>
      <c r="F74" s="18">
        <f t="shared" si="24"/>
        <v>0.16982537888782132</v>
      </c>
      <c r="G74" s="19">
        <f t="shared" si="24"/>
        <v>0.1458361930908259</v>
      </c>
      <c r="H74" s="20">
        <f>H17/536239-1</f>
        <v>0.24279658883445632</v>
      </c>
      <c r="I74" s="20">
        <f>I17/552794-1</f>
        <v>0.1265986968020636</v>
      </c>
      <c r="J74" s="21">
        <f>J17/472571-1</f>
        <v>0.27519251075499773</v>
      </c>
      <c r="K74" s="19">
        <f>(K17-L17)/L17</f>
        <v>0.2786496804107125</v>
      </c>
      <c r="L74" s="18">
        <f>(L17-404981)/404981</f>
        <v>0.18174185949464297</v>
      </c>
    </row>
    <row r="75" spans="2:12" ht="11.25">
      <c r="B75" s="16" t="s">
        <v>15</v>
      </c>
      <c r="C75" s="18">
        <f t="shared" si="24"/>
        <v>0.10107568102185864</v>
      </c>
      <c r="D75" s="18">
        <f t="shared" si="24"/>
        <v>0.09037775119540503</v>
      </c>
      <c r="E75" s="18">
        <f t="shared" si="24"/>
        <v>0.09893926368390948</v>
      </c>
      <c r="F75" s="18">
        <f t="shared" si="24"/>
        <v>0.14885070739573036</v>
      </c>
      <c r="G75" s="19">
        <f t="shared" si="24"/>
        <v>0.1758538370830884</v>
      </c>
      <c r="H75" s="20">
        <f>H18/486166-1</f>
        <v>0.28276761435394504</v>
      </c>
      <c r="I75" s="20">
        <f>I18/499558-1</f>
        <v>0.1689013087569411</v>
      </c>
      <c r="J75" s="21">
        <f>J18/424967-1</f>
        <v>0.3046377718740514</v>
      </c>
      <c r="K75" s="19">
        <f>(K18-L18)/L18</f>
        <v>0.2730782650213016</v>
      </c>
      <c r="L75" s="18">
        <f>(L18-352503)/352503</f>
        <v>0.2358703330184424</v>
      </c>
    </row>
    <row r="76" spans="2:12" ht="11.25">
      <c r="B76" s="16" t="s">
        <v>16</v>
      </c>
      <c r="C76" s="18">
        <f>(C22-G22)/G22</f>
        <v>1.0962111015946816</v>
      </c>
      <c r="D76" s="18">
        <f>(D22-H22)/H22</f>
        <v>0.8152483760923408</v>
      </c>
      <c r="E76" s="18">
        <f>(E22-I22)/I22</f>
        <v>1.8517622222794325</v>
      </c>
      <c r="F76" s="18">
        <f>(F22-J22)/J22</f>
        <v>0.41113485920607584</v>
      </c>
      <c r="G76" s="19">
        <f>(G22-K22)/K22</f>
        <v>-0.14457663189477724</v>
      </c>
      <c r="H76" s="20">
        <f>H22/50073-1</f>
        <v>-0.14528787969564438</v>
      </c>
      <c r="I76" s="20">
        <f>I22/53236-1</f>
        <v>-0.27036216094372234</v>
      </c>
      <c r="J76" s="21">
        <f>J22/47603-1</f>
        <v>0.012352162678822776</v>
      </c>
      <c r="K76" s="19">
        <f>(K22-L22)/L22</f>
        <v>0.3351810876906952</v>
      </c>
      <c r="L76" s="18">
        <f>(L22-52478)/52478</f>
        <v>-0.18184763138839133</v>
      </c>
    </row>
    <row r="77" spans="1:12" ht="11.25">
      <c r="A77" s="1" t="s">
        <v>66</v>
      </c>
      <c r="B77" s="16"/>
      <c r="C77" s="18">
        <f>C25/G25-1</f>
        <v>0.2041325809546406</v>
      </c>
      <c r="D77" s="18">
        <f>D25/H25-1</f>
        <v>0.22612879348630655</v>
      </c>
      <c r="E77" s="18">
        <f>E25/I25-1</f>
        <v>0.21202393906420025</v>
      </c>
      <c r="F77" s="18">
        <f>(F25-J25)/J25</f>
        <v>0.07707133338472891</v>
      </c>
      <c r="G77" s="19">
        <f>(G25-K25)/K25</f>
        <v>0.19956688528647445</v>
      </c>
      <c r="H77" s="20">
        <f>(H25-80043)/80043</f>
        <v>0.18148994915233063</v>
      </c>
      <c r="I77" s="20">
        <f>(I25-75776)/75776</f>
        <v>0.21278505067567569</v>
      </c>
      <c r="J77" s="21">
        <f>(J25-70334)/70334</f>
        <v>0.29096880598288166</v>
      </c>
      <c r="K77" s="19">
        <f>(K25-L25)/L25</f>
        <v>0.15146765460245085</v>
      </c>
      <c r="L77" s="18">
        <f>(L25-52838)/52838</f>
        <v>0.32821075740944017</v>
      </c>
    </row>
    <row r="78" spans="1:12" ht="11.25">
      <c r="A78" s="2" t="s">
        <v>67</v>
      </c>
      <c r="B78" s="2"/>
      <c r="C78" s="22">
        <f>(C40-G40)/G40</f>
        <v>-0.04818104392261832</v>
      </c>
      <c r="D78" s="22">
        <f>(D40-H40)/H40</f>
        <v>0.14689177623901034</v>
      </c>
      <c r="E78" s="22">
        <f>(E40-I40)/I40</f>
        <v>-0.05989352262644188</v>
      </c>
      <c r="F78" s="22">
        <f>F40/J40-1</f>
        <v>-0.4724598529191055</v>
      </c>
      <c r="G78" s="23">
        <f>G40/K40-1</f>
        <v>0.3446216768916155</v>
      </c>
      <c r="H78" s="22">
        <f>H40/10208-1</f>
        <v>0.259110501567398</v>
      </c>
      <c r="I78" s="22">
        <f>I40/5913-1</f>
        <v>0.5247759174699813</v>
      </c>
      <c r="J78" s="24">
        <f>J40/2415-1</f>
        <v>1.7590062111801243</v>
      </c>
      <c r="K78" s="23">
        <f>(K40-L40)/L40</f>
        <v>0.2997023176695726</v>
      </c>
      <c r="L78" s="22">
        <f>(L40-5931)/5931</f>
        <v>0.5859045692126117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684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2002-03-19T15:02:47Z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