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asatlántic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<sst xmlns="http://schemas.openxmlformats.org/spreadsheetml/2006/main" count="84" uniqueCount="68">
  <si>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BANCO TRASATLANTICO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</si>
  <si>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</si>
  <si>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</si>
  <si>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</si>
  <si>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</si>
  <si>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</si>
  <si>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</si>
  <si>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</si>
  <si>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</si>
  <si>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</si>
  <si>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</si>
  <si>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</si>
  <si>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</si>
  <si>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</si>
  <si>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</si>
  <si>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</si>
  <si>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</si>
  <si>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</si>
  <si>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</si>
  <si>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</si>
  <si>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</si>
  <si>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</si>
  <si>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</si>
  <si>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</si>
  <si>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</si>
  <si>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</si>
  <si>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</si>
  <si>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</si>
  <si>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</si>
  <si>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</si>
  <si>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</si>
  <si>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</si>
  <si>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</si>
  <si>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</si>
  <si>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</si>
  <si>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</si>
  <si>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</si>
  <si>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</si>
  <si>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</si>
  <si>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</si>
  <si>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</si>
  <si>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</si>
  <si>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</si>
  <si>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</si>
  <si>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</si>
  <si>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</si>
  <si>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</si>
  <si>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</si>
  <si>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</si>
  <si>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</si>
  <si>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</si>
  <si>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</si>
  <si>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</si>
  <si>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</si>
  <si>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</si>
  <si>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</si>
  <si>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</si>
  <si>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</si>
  <si>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</si>
  <si>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</si>
  <si>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</si>
  <si>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</si>
  <si>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</si>
  <si>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</si>
  <si>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</si>
  <si>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</si>
  <si>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</si>
  <si>
    <t>CUADRO No 18-4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</si>
</sst>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"/>
    </sheetView>
  </sheetViews>
  <sheetFormatPr defaultColWidth="11.421875" defaultRowHeight="12.75"/>
  <cols>
    <col min="1" max="1" width="2.8515625" style="1" customWidth="1"/>
    <col min="2" max="2" width="40.28125" style="1" customWidth="1"/>
    <col min="3" max="3" width="9.00390625" style="1" bestFit="1" customWidth="1"/>
    <col min="4" max="4" width="10.28125" style="1" customWidth="1"/>
    <col min="5" max="6" width="8.140625" style="1" bestFit="1" customWidth="1"/>
    <col min="7" max="7" width="9.00390625" style="1" customWidth="1"/>
    <col min="8" max="8" width="10.140625" style="1" customWidth="1"/>
    <col min="9" max="11" width="8.14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67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0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1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2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6" t="s">
        <v>3</v>
      </c>
      <c r="L8" s="47"/>
    </row>
    <row r="9" spans="1:12" s="4" customFormat="1" ht="11.25">
      <c r="A9" s="41"/>
      <c r="B9" s="41"/>
      <c r="C9" s="41" t="s">
        <v>4</v>
      </c>
      <c r="D9" s="41" t="s">
        <v>5</v>
      </c>
      <c r="E9" s="41" t="s">
        <v>6</v>
      </c>
      <c r="F9" s="41" t="s">
        <v>7</v>
      </c>
      <c r="G9" s="42" t="s">
        <v>4</v>
      </c>
      <c r="H9" s="41" t="s">
        <v>5</v>
      </c>
      <c r="I9" s="41" t="s">
        <v>6</v>
      </c>
      <c r="J9" s="43" t="s">
        <v>7</v>
      </c>
      <c r="K9" s="44" t="s">
        <v>8</v>
      </c>
      <c r="L9" s="45" t="s">
        <v>9</v>
      </c>
    </row>
    <row r="10" spans="1:12" ht="11.25">
      <c r="A10" s="4" t="s">
        <v>10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6"/>
    </row>
    <row r="11" spans="1:12" ht="11.25">
      <c r="A11" s="1" t="s">
        <v>11</v>
      </c>
      <c r="C11" s="8">
        <v>145589</v>
      </c>
      <c r="D11" s="8">
        <v>150515</v>
      </c>
      <c r="E11" s="8">
        <v>144163</v>
      </c>
      <c r="F11" s="8">
        <v>151071</v>
      </c>
      <c r="G11" s="9">
        <v>149571</v>
      </c>
      <c r="H11" s="10">
        <v>157618</v>
      </c>
      <c r="I11" s="10">
        <v>137941</v>
      </c>
      <c r="J11" s="11">
        <v>138222</v>
      </c>
      <c r="K11" s="9">
        <v>134058</v>
      </c>
      <c r="L11" s="10">
        <v>130971</v>
      </c>
    </row>
    <row r="12" spans="1:12" ht="11.25">
      <c r="A12" s="1" t="s">
        <v>12</v>
      </c>
      <c r="C12" s="8">
        <v>19743</v>
      </c>
      <c r="D12" s="8">
        <v>24537</v>
      </c>
      <c r="E12" s="8">
        <v>16343</v>
      </c>
      <c r="F12" s="8">
        <v>21982</v>
      </c>
      <c r="G12" s="9">
        <v>17755</v>
      </c>
      <c r="H12" s="10">
        <v>29480</v>
      </c>
      <c r="I12" s="10">
        <v>34301</v>
      </c>
      <c r="J12" s="11">
        <v>30643</v>
      </c>
      <c r="K12" s="9">
        <v>35662</v>
      </c>
      <c r="L12" s="10">
        <v>33646</v>
      </c>
    </row>
    <row r="13" spans="1:12" ht="11.25">
      <c r="A13" s="1" t="s">
        <v>13</v>
      </c>
      <c r="C13" s="8">
        <f aca="true" t="shared" si="0" ref="C13:L13">C14+C15</f>
        <v>66136</v>
      </c>
      <c r="D13" s="8">
        <f t="shared" si="0"/>
        <v>65321</v>
      </c>
      <c r="E13" s="8">
        <f t="shared" si="0"/>
        <v>66395</v>
      </c>
      <c r="F13" s="8">
        <f t="shared" si="0"/>
        <v>64855</v>
      </c>
      <c r="G13" s="9">
        <f t="shared" si="0"/>
        <v>64329</v>
      </c>
      <c r="H13" s="10">
        <f t="shared" si="0"/>
        <v>63240</v>
      </c>
      <c r="I13" s="10">
        <f t="shared" si="0"/>
        <v>61666</v>
      </c>
      <c r="J13" s="11">
        <f t="shared" si="0"/>
        <v>59513</v>
      </c>
      <c r="K13" s="9">
        <f t="shared" si="0"/>
        <v>57825</v>
      </c>
      <c r="L13" s="10">
        <f t="shared" si="0"/>
        <v>62126</v>
      </c>
    </row>
    <row r="14" spans="2:12" ht="11.25">
      <c r="B14" s="1" t="s">
        <v>14</v>
      </c>
      <c r="C14" s="8">
        <v>48819</v>
      </c>
      <c r="D14" s="8">
        <v>48288</v>
      </c>
      <c r="E14" s="8">
        <v>49414</v>
      </c>
      <c r="F14" s="8">
        <v>47964</v>
      </c>
      <c r="G14" s="9">
        <v>48333</v>
      </c>
      <c r="H14" s="10">
        <v>46969</v>
      </c>
      <c r="I14" s="10">
        <v>45612</v>
      </c>
      <c r="J14" s="11">
        <v>43500</v>
      </c>
      <c r="K14" s="9">
        <v>41822</v>
      </c>
      <c r="L14" s="10">
        <v>45802</v>
      </c>
    </row>
    <row r="15" spans="2:12" ht="11.25">
      <c r="B15" s="1" t="s">
        <v>15</v>
      </c>
      <c r="C15" s="8">
        <v>17317</v>
      </c>
      <c r="D15" s="8">
        <v>17033</v>
      </c>
      <c r="E15" s="8">
        <v>16981</v>
      </c>
      <c r="F15" s="8">
        <v>16891</v>
      </c>
      <c r="G15" s="9">
        <v>15996</v>
      </c>
      <c r="H15" s="10">
        <v>16271</v>
      </c>
      <c r="I15" s="10">
        <v>16054</v>
      </c>
      <c r="J15" s="11">
        <v>16013</v>
      </c>
      <c r="K15" s="9">
        <v>16003</v>
      </c>
      <c r="L15" s="10">
        <v>16324</v>
      </c>
    </row>
    <row r="16" spans="1:12" ht="11.25">
      <c r="A16" s="1" t="s">
        <v>16</v>
      </c>
      <c r="C16" s="8">
        <v>55311</v>
      </c>
      <c r="D16" s="8">
        <v>56904</v>
      </c>
      <c r="E16" s="8">
        <v>56102</v>
      </c>
      <c r="F16" s="8">
        <v>61327</v>
      </c>
      <c r="G16" s="9">
        <v>63010</v>
      </c>
      <c r="H16" s="10">
        <v>63653</v>
      </c>
      <c r="I16" s="10">
        <v>38449</v>
      </c>
      <c r="J16" s="11">
        <v>40326</v>
      </c>
      <c r="K16" s="9">
        <v>37393</v>
      </c>
      <c r="L16" s="10">
        <v>32955</v>
      </c>
    </row>
    <row r="17" spans="1:12" ht="11.25">
      <c r="A17" s="1" t="s">
        <v>17</v>
      </c>
      <c r="C17" s="8">
        <f aca="true" t="shared" si="1" ref="C17:L17">C18+C22</f>
        <v>121288</v>
      </c>
      <c r="D17" s="8">
        <f t="shared" si="1"/>
        <v>125087</v>
      </c>
      <c r="E17" s="8">
        <f t="shared" si="1"/>
        <v>119724</v>
      </c>
      <c r="F17" s="8">
        <f t="shared" si="1"/>
        <v>122045</v>
      </c>
      <c r="G17" s="9">
        <f t="shared" si="1"/>
        <v>119459</v>
      </c>
      <c r="H17" s="10">
        <f t="shared" si="1"/>
        <v>127223</v>
      </c>
      <c r="I17" s="10">
        <f t="shared" si="1"/>
        <v>108801</v>
      </c>
      <c r="J17" s="11">
        <f t="shared" si="1"/>
        <v>106312</v>
      </c>
      <c r="K17" s="9">
        <f t="shared" si="1"/>
        <v>105081</v>
      </c>
      <c r="L17" s="10">
        <f t="shared" si="1"/>
        <v>106383</v>
      </c>
    </row>
    <row r="18" spans="2:12" ht="11.25">
      <c r="B18" s="1" t="s">
        <v>14</v>
      </c>
      <c r="C18" s="8">
        <f aca="true" t="shared" si="2" ref="C18:L18">SUM(C19:C21)</f>
        <v>94600</v>
      </c>
      <c r="D18" s="8">
        <f t="shared" si="2"/>
        <v>98182</v>
      </c>
      <c r="E18" s="8">
        <f t="shared" si="2"/>
        <v>93519</v>
      </c>
      <c r="F18" s="8">
        <f t="shared" si="2"/>
        <v>96465</v>
      </c>
      <c r="G18" s="9">
        <f t="shared" si="2"/>
        <v>93736</v>
      </c>
      <c r="H18" s="10">
        <f t="shared" si="2"/>
        <v>98533</v>
      </c>
      <c r="I18" s="10">
        <f t="shared" si="2"/>
        <v>80599</v>
      </c>
      <c r="J18" s="11">
        <f t="shared" si="2"/>
        <v>77643</v>
      </c>
      <c r="K18" s="9">
        <f t="shared" si="2"/>
        <v>76751</v>
      </c>
      <c r="L18" s="10">
        <f t="shared" si="2"/>
        <v>75262</v>
      </c>
    </row>
    <row r="19" spans="2:12" ht="11.25">
      <c r="B19" s="1" t="s">
        <v>18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0">
        <v>0</v>
      </c>
    </row>
    <row r="20" spans="2:12" ht="11.25">
      <c r="B20" s="1" t="s">
        <v>19</v>
      </c>
      <c r="C20" s="8">
        <v>65091</v>
      </c>
      <c r="D20" s="8">
        <v>65656</v>
      </c>
      <c r="E20" s="8">
        <v>64007</v>
      </c>
      <c r="F20" s="8">
        <v>65869</v>
      </c>
      <c r="G20" s="9">
        <v>62571</v>
      </c>
      <c r="H20" s="10">
        <v>61958</v>
      </c>
      <c r="I20" s="10">
        <v>61202</v>
      </c>
      <c r="J20" s="11">
        <v>61186</v>
      </c>
      <c r="K20" s="9">
        <v>57858</v>
      </c>
      <c r="L20" s="10">
        <v>63296</v>
      </c>
    </row>
    <row r="21" spans="2:12" ht="11.25">
      <c r="B21" s="1" t="s">
        <v>20</v>
      </c>
      <c r="C21" s="8">
        <v>29509</v>
      </c>
      <c r="D21" s="8">
        <v>32526</v>
      </c>
      <c r="E21" s="8">
        <v>29512</v>
      </c>
      <c r="F21" s="8">
        <v>30596</v>
      </c>
      <c r="G21" s="9">
        <v>31165</v>
      </c>
      <c r="H21" s="10">
        <v>36575</v>
      </c>
      <c r="I21" s="10">
        <v>19397</v>
      </c>
      <c r="J21" s="11">
        <v>16457</v>
      </c>
      <c r="K21" s="9">
        <v>18893</v>
      </c>
      <c r="L21" s="10">
        <v>11966</v>
      </c>
    </row>
    <row r="22" spans="2:12" ht="11.25">
      <c r="B22" s="1" t="s">
        <v>15</v>
      </c>
      <c r="C22" s="8">
        <f aca="true" t="shared" si="3" ref="C22:L22">SUM(C23:C24)</f>
        <v>26688</v>
      </c>
      <c r="D22" s="8">
        <f t="shared" si="3"/>
        <v>26905</v>
      </c>
      <c r="E22" s="8">
        <f t="shared" si="3"/>
        <v>26205</v>
      </c>
      <c r="F22" s="8">
        <f t="shared" si="3"/>
        <v>25580</v>
      </c>
      <c r="G22" s="9">
        <f t="shared" si="3"/>
        <v>25723</v>
      </c>
      <c r="H22" s="10">
        <f t="shared" si="3"/>
        <v>28690</v>
      </c>
      <c r="I22" s="10">
        <f t="shared" si="3"/>
        <v>28202</v>
      </c>
      <c r="J22" s="11">
        <f t="shared" si="3"/>
        <v>28669</v>
      </c>
      <c r="K22" s="9">
        <f t="shared" si="3"/>
        <v>28330</v>
      </c>
      <c r="L22" s="10">
        <f t="shared" si="3"/>
        <v>31121</v>
      </c>
    </row>
    <row r="23" spans="2:12" ht="11.25">
      <c r="B23" s="1" t="s">
        <v>19</v>
      </c>
      <c r="C23" s="8">
        <v>26688</v>
      </c>
      <c r="D23" s="8">
        <v>26905</v>
      </c>
      <c r="E23" s="8">
        <v>26205</v>
      </c>
      <c r="F23" s="8">
        <v>25580</v>
      </c>
      <c r="G23" s="9">
        <v>25723</v>
      </c>
      <c r="H23" s="10">
        <v>28690</v>
      </c>
      <c r="I23" s="10">
        <v>28202</v>
      </c>
      <c r="J23" s="11">
        <v>28669</v>
      </c>
      <c r="K23" s="9">
        <v>28330</v>
      </c>
      <c r="L23" s="10">
        <v>31121</v>
      </c>
    </row>
    <row r="24" spans="2:12" ht="11.25">
      <c r="B24" s="1" t="s">
        <v>20</v>
      </c>
      <c r="C24" s="8">
        <v>0</v>
      </c>
      <c r="D24" s="8">
        <v>0</v>
      </c>
      <c r="E24" s="8">
        <v>0</v>
      </c>
      <c r="F24" s="8">
        <v>0</v>
      </c>
      <c r="G24" s="9">
        <v>0</v>
      </c>
      <c r="H24" s="10">
        <v>0</v>
      </c>
      <c r="I24" s="10">
        <v>0</v>
      </c>
      <c r="J24" s="11">
        <v>0</v>
      </c>
      <c r="K24" s="9">
        <v>0</v>
      </c>
      <c r="L24" s="10">
        <v>0</v>
      </c>
    </row>
    <row r="25" spans="1:12" ht="11.25">
      <c r="A25" s="2" t="s">
        <v>21</v>
      </c>
      <c r="B25" s="2"/>
      <c r="C25" s="12">
        <v>15557</v>
      </c>
      <c r="D25" s="12">
        <v>15152</v>
      </c>
      <c r="E25" s="12">
        <v>14892</v>
      </c>
      <c r="F25" s="12">
        <v>14515</v>
      </c>
      <c r="G25" s="13">
        <v>15349</v>
      </c>
      <c r="H25" s="12">
        <v>14877</v>
      </c>
      <c r="I25" s="12">
        <v>14255</v>
      </c>
      <c r="J25" s="14">
        <v>14003</v>
      </c>
      <c r="K25" s="13">
        <v>13272</v>
      </c>
      <c r="L25" s="12">
        <v>12052</v>
      </c>
    </row>
    <row r="26" spans="1:12" ht="11.25">
      <c r="A26" s="4" t="s">
        <v>22</v>
      </c>
      <c r="C26" s="8"/>
      <c r="D26" s="8"/>
      <c r="E26" s="8"/>
      <c r="F26" s="8"/>
      <c r="G26" s="9"/>
      <c r="H26" s="10"/>
      <c r="I26" s="10"/>
      <c r="J26" s="11"/>
      <c r="K26" s="9"/>
      <c r="L26" s="10"/>
    </row>
    <row r="27" spans="1:12" ht="11.25">
      <c r="A27" s="1" t="s">
        <v>11</v>
      </c>
      <c r="C27" s="8">
        <f>(C11+G11)/2</f>
        <v>147580</v>
      </c>
      <c r="D27" s="8">
        <f>(D11+H11)/2</f>
        <v>154066.5</v>
      </c>
      <c r="E27" s="8">
        <f>(E11+I11)/2</f>
        <v>141052</v>
      </c>
      <c r="F27" s="8">
        <f>+(F11+J11)/2</f>
        <v>144646.5</v>
      </c>
      <c r="G27" s="9">
        <f>+(G11+K11)/2</f>
        <v>141814.5</v>
      </c>
      <c r="H27" s="10">
        <v>140856</v>
      </c>
      <c r="I27" s="10">
        <v>130091</v>
      </c>
      <c r="J27" s="11">
        <v>131524</v>
      </c>
      <c r="K27" s="9">
        <f>(K11+L11)/2</f>
        <v>132514.5</v>
      </c>
      <c r="L27" s="10">
        <f>(L11+127770)/2</f>
        <v>129370.5</v>
      </c>
    </row>
    <row r="28" spans="1:12" ht="11.25">
      <c r="A28" s="1" t="s">
        <v>23</v>
      </c>
      <c r="C28" s="8">
        <f aca="true" t="shared" si="4" ref="C28:L28">C29+C30</f>
        <v>124393</v>
      </c>
      <c r="D28" s="8">
        <f t="shared" si="4"/>
        <v>124559</v>
      </c>
      <c r="E28" s="8">
        <f t="shared" si="4"/>
        <v>111306</v>
      </c>
      <c r="F28" s="8">
        <f t="shared" si="4"/>
        <v>113010.5</v>
      </c>
      <c r="G28" s="9">
        <f t="shared" si="4"/>
        <v>111278.5</v>
      </c>
      <c r="H28" s="10">
        <f t="shared" si="4"/>
        <v>106588</v>
      </c>
      <c r="I28" s="10">
        <f t="shared" si="4"/>
        <v>92551</v>
      </c>
      <c r="J28" s="11">
        <f t="shared" si="4"/>
        <v>96094</v>
      </c>
      <c r="K28" s="9">
        <f t="shared" si="4"/>
        <v>95149.5</v>
      </c>
      <c r="L28" s="10">
        <f t="shared" si="4"/>
        <v>88856</v>
      </c>
    </row>
    <row r="29" spans="2:12" ht="11.25">
      <c r="B29" s="1" t="s">
        <v>13</v>
      </c>
      <c r="C29" s="8">
        <f>(C13+G13)/2</f>
        <v>65232.5</v>
      </c>
      <c r="D29" s="8">
        <f>(D13+H13)/2</f>
        <v>64280.5</v>
      </c>
      <c r="E29" s="8">
        <f>(E13+I13)/2</f>
        <v>64030.5</v>
      </c>
      <c r="F29" s="8">
        <f>+(F13+J13)/2</f>
        <v>62184</v>
      </c>
      <c r="G29" s="9">
        <f>+(G13+K13)/2</f>
        <v>61077</v>
      </c>
      <c r="H29" s="10">
        <v>57977</v>
      </c>
      <c r="I29" s="10">
        <v>57011</v>
      </c>
      <c r="J29" s="11">
        <v>59951</v>
      </c>
      <c r="K29" s="9">
        <f>(K13+L13)/2</f>
        <v>59975.5</v>
      </c>
      <c r="L29" s="10">
        <f>(L13+63764)/2</f>
        <v>62945</v>
      </c>
    </row>
    <row r="30" spans="2:12" ht="11.25">
      <c r="B30" s="1" t="s">
        <v>16</v>
      </c>
      <c r="C30" s="8">
        <f>(C16+G16)/2</f>
        <v>59160.5</v>
      </c>
      <c r="D30" s="8">
        <f>(D16+H16)/2</f>
        <v>60278.5</v>
      </c>
      <c r="E30" s="8">
        <f>(E16+I16)/2</f>
        <v>47275.5</v>
      </c>
      <c r="F30" s="8">
        <f>+(F16+J16)/2</f>
        <v>50826.5</v>
      </c>
      <c r="G30" s="9">
        <f>+(G16+K16)/2</f>
        <v>50201.5</v>
      </c>
      <c r="H30" s="10">
        <v>48611</v>
      </c>
      <c r="I30" s="10">
        <v>35540</v>
      </c>
      <c r="J30" s="11">
        <v>36143</v>
      </c>
      <c r="K30" s="9">
        <f>(K16+L16)/2</f>
        <v>35174</v>
      </c>
      <c r="L30" s="10">
        <f>(L16+18867)/2</f>
        <v>25911</v>
      </c>
    </row>
    <row r="31" spans="1:12" ht="11.25">
      <c r="A31" s="2" t="s">
        <v>21</v>
      </c>
      <c r="B31" s="2"/>
      <c r="C31" s="12">
        <f>(C25+G25)/2</f>
        <v>15453</v>
      </c>
      <c r="D31" s="12">
        <f>(D25+H25)/2</f>
        <v>15014.5</v>
      </c>
      <c r="E31" s="12">
        <f>(E25+I25)/2</f>
        <v>14573.5</v>
      </c>
      <c r="F31" s="12">
        <f>+(F25+J25)/2</f>
        <v>14259</v>
      </c>
      <c r="G31" s="13">
        <f>+(G25+K25)/2</f>
        <v>14310.5</v>
      </c>
      <c r="H31" s="12">
        <v>14022</v>
      </c>
      <c r="I31" s="12">
        <v>13510</v>
      </c>
      <c r="J31" s="14">
        <v>13060</v>
      </c>
      <c r="K31" s="13">
        <f>(K25+L25)/2</f>
        <v>12662</v>
      </c>
      <c r="L31" s="12">
        <f>(L25+10167)/2</f>
        <v>11109.5</v>
      </c>
    </row>
    <row r="32" spans="1:12" ht="11.25">
      <c r="A32" s="4" t="s">
        <v>24</v>
      </c>
      <c r="C32" s="8"/>
      <c r="D32" s="8"/>
      <c r="E32" s="8"/>
      <c r="F32" s="8"/>
      <c r="G32" s="15"/>
      <c r="H32" s="16"/>
      <c r="I32" s="16"/>
      <c r="J32" s="17"/>
      <c r="K32" s="15"/>
      <c r="L32" s="16"/>
    </row>
    <row r="33" spans="1:12" ht="11.25">
      <c r="A33" s="1" t="s">
        <v>25</v>
      </c>
      <c r="C33" s="8">
        <v>11732</v>
      </c>
      <c r="D33" s="8">
        <v>8837</v>
      </c>
      <c r="E33" s="8">
        <v>5937</v>
      </c>
      <c r="F33" s="8">
        <v>2942</v>
      </c>
      <c r="G33" s="9">
        <v>10972</v>
      </c>
      <c r="H33" s="10">
        <v>7903</v>
      </c>
      <c r="I33" s="10">
        <v>5003</v>
      </c>
      <c r="J33" s="11">
        <v>2567</v>
      </c>
      <c r="K33" s="9">
        <v>9758</v>
      </c>
      <c r="L33" s="10">
        <v>10633</v>
      </c>
    </row>
    <row r="34" spans="1:12" ht="11.25">
      <c r="A34" s="1" t="s">
        <v>26</v>
      </c>
      <c r="C34" s="8">
        <v>8750</v>
      </c>
      <c r="D34" s="8">
        <v>6596</v>
      </c>
      <c r="E34" s="8">
        <v>4360</v>
      </c>
      <c r="F34" s="8">
        <v>2199</v>
      </c>
      <c r="G34" s="9">
        <v>8051</v>
      </c>
      <c r="H34" s="10">
        <v>5698</v>
      </c>
      <c r="I34" s="10">
        <v>3683</v>
      </c>
      <c r="J34" s="11">
        <v>1792</v>
      </c>
      <c r="K34" s="9">
        <v>7228</v>
      </c>
      <c r="L34" s="10">
        <v>7971</v>
      </c>
    </row>
    <row r="35" spans="1:12" ht="11.25">
      <c r="A35" s="1" t="s">
        <v>27</v>
      </c>
      <c r="C35" s="8">
        <f aca="true" t="shared" si="5" ref="C35:L35">C33-C34</f>
        <v>2982</v>
      </c>
      <c r="D35" s="8">
        <f t="shared" si="5"/>
        <v>2241</v>
      </c>
      <c r="E35" s="8">
        <f t="shared" si="5"/>
        <v>1577</v>
      </c>
      <c r="F35" s="8">
        <f t="shared" si="5"/>
        <v>743</v>
      </c>
      <c r="G35" s="9">
        <f t="shared" si="5"/>
        <v>2921</v>
      </c>
      <c r="H35" s="10">
        <f t="shared" si="5"/>
        <v>2205</v>
      </c>
      <c r="I35" s="10">
        <f t="shared" si="5"/>
        <v>1320</v>
      </c>
      <c r="J35" s="11">
        <f t="shared" si="5"/>
        <v>775</v>
      </c>
      <c r="K35" s="9">
        <f t="shared" si="5"/>
        <v>2530</v>
      </c>
      <c r="L35" s="10">
        <f t="shared" si="5"/>
        <v>2662</v>
      </c>
    </row>
    <row r="36" spans="1:12" ht="11.25">
      <c r="A36" s="1" t="s">
        <v>28</v>
      </c>
      <c r="C36" s="8">
        <v>4869</v>
      </c>
      <c r="D36" s="8">
        <v>2442</v>
      </c>
      <c r="E36" s="8">
        <v>1479</v>
      </c>
      <c r="F36" s="8">
        <v>177</v>
      </c>
      <c r="G36" s="9">
        <v>837</v>
      </c>
      <c r="H36" s="10">
        <v>488</v>
      </c>
      <c r="I36" s="10">
        <v>378</v>
      </c>
      <c r="J36" s="11">
        <v>225</v>
      </c>
      <c r="K36" s="9">
        <v>479</v>
      </c>
      <c r="L36" s="10">
        <v>459</v>
      </c>
    </row>
    <row r="37" spans="1:12" ht="11.25">
      <c r="A37" s="1" t="s">
        <v>29</v>
      </c>
      <c r="C37" s="8">
        <f aca="true" t="shared" si="6" ref="C37:L37">C35+C36</f>
        <v>7851</v>
      </c>
      <c r="D37" s="8">
        <f t="shared" si="6"/>
        <v>4683</v>
      </c>
      <c r="E37" s="8">
        <f t="shared" si="6"/>
        <v>3056</v>
      </c>
      <c r="F37" s="8">
        <f t="shared" si="6"/>
        <v>920</v>
      </c>
      <c r="G37" s="9">
        <f t="shared" si="6"/>
        <v>3758</v>
      </c>
      <c r="H37" s="10">
        <f t="shared" si="6"/>
        <v>2693</v>
      </c>
      <c r="I37" s="10">
        <f t="shared" si="6"/>
        <v>1698</v>
      </c>
      <c r="J37" s="11">
        <f t="shared" si="6"/>
        <v>1000</v>
      </c>
      <c r="K37" s="9">
        <f t="shared" si="6"/>
        <v>3009</v>
      </c>
      <c r="L37" s="10">
        <f t="shared" si="6"/>
        <v>3121</v>
      </c>
    </row>
    <row r="38" spans="1:12" ht="11.25">
      <c r="A38" s="1" t="s">
        <v>30</v>
      </c>
      <c r="C38" s="8">
        <v>5271</v>
      </c>
      <c r="D38" s="8">
        <v>2614</v>
      </c>
      <c r="E38" s="8">
        <v>1353</v>
      </c>
      <c r="F38" s="8">
        <v>360</v>
      </c>
      <c r="G38" s="9">
        <v>1468</v>
      </c>
      <c r="H38" s="10">
        <v>1001</v>
      </c>
      <c r="I38" s="10">
        <v>651</v>
      </c>
      <c r="J38" s="11">
        <v>276</v>
      </c>
      <c r="K38" s="9">
        <v>1050</v>
      </c>
      <c r="L38" s="10">
        <v>1009</v>
      </c>
    </row>
    <row r="39" spans="1:12" ht="11.25">
      <c r="A39" s="1" t="s">
        <v>31</v>
      </c>
      <c r="C39" s="8">
        <f aca="true" t="shared" si="7" ref="C39:L39">C37-C38</f>
        <v>2580</v>
      </c>
      <c r="D39" s="8">
        <f t="shared" si="7"/>
        <v>2069</v>
      </c>
      <c r="E39" s="8">
        <f t="shared" si="7"/>
        <v>1703</v>
      </c>
      <c r="F39" s="8">
        <f t="shared" si="7"/>
        <v>560</v>
      </c>
      <c r="G39" s="9">
        <f t="shared" si="7"/>
        <v>2290</v>
      </c>
      <c r="H39" s="10">
        <f t="shared" si="7"/>
        <v>1692</v>
      </c>
      <c r="I39" s="10">
        <f t="shared" si="7"/>
        <v>1047</v>
      </c>
      <c r="J39" s="11">
        <f t="shared" si="7"/>
        <v>724</v>
      </c>
      <c r="K39" s="9">
        <f t="shared" si="7"/>
        <v>1959</v>
      </c>
      <c r="L39" s="10">
        <f t="shared" si="7"/>
        <v>2112</v>
      </c>
    </row>
    <row r="40" spans="1:12" ht="11.25">
      <c r="A40" s="2" t="s">
        <v>32</v>
      </c>
      <c r="B40" s="2"/>
      <c r="C40" s="12">
        <v>2278</v>
      </c>
      <c r="D40" s="12">
        <v>1873</v>
      </c>
      <c r="E40" s="12">
        <v>1613</v>
      </c>
      <c r="F40" s="12">
        <v>515</v>
      </c>
      <c r="G40" s="13">
        <v>2100</v>
      </c>
      <c r="H40" s="12">
        <v>1632</v>
      </c>
      <c r="I40" s="12">
        <v>1017</v>
      </c>
      <c r="J40" s="14">
        <v>709</v>
      </c>
      <c r="K40" s="13">
        <v>1899</v>
      </c>
      <c r="L40" s="12">
        <v>2052</v>
      </c>
    </row>
    <row r="41" spans="1:12" ht="11.25">
      <c r="A41" s="4" t="s">
        <v>33</v>
      </c>
      <c r="C41" s="8"/>
      <c r="D41" s="8"/>
      <c r="E41" s="8"/>
      <c r="F41" s="8"/>
      <c r="G41" s="15"/>
      <c r="H41" s="16"/>
      <c r="I41" s="16"/>
      <c r="J41" s="17"/>
      <c r="K41" s="15"/>
      <c r="L41" s="16"/>
    </row>
    <row r="42" spans="1:12" ht="11.25">
      <c r="A42" s="1" t="s">
        <v>34</v>
      </c>
      <c r="C42" s="8">
        <v>2344</v>
      </c>
      <c r="D42" s="8">
        <v>2651</v>
      </c>
      <c r="E42" s="8">
        <v>1886</v>
      </c>
      <c r="F42" s="8">
        <v>1891</v>
      </c>
      <c r="G42" s="9">
        <v>2021</v>
      </c>
      <c r="H42" s="10">
        <v>1116</v>
      </c>
      <c r="I42" s="10">
        <v>1355</v>
      </c>
      <c r="J42" s="11">
        <v>1464</v>
      </c>
      <c r="K42" s="9">
        <v>1575</v>
      </c>
      <c r="L42" s="10">
        <v>815</v>
      </c>
    </row>
    <row r="43" spans="1:12" ht="11.25">
      <c r="A43" s="1" t="s">
        <v>35</v>
      </c>
      <c r="C43" s="8">
        <v>1096</v>
      </c>
      <c r="D43" s="8">
        <v>1038</v>
      </c>
      <c r="E43" s="8">
        <v>944</v>
      </c>
      <c r="F43" s="8">
        <v>899</v>
      </c>
      <c r="G43" s="15">
        <v>854</v>
      </c>
      <c r="H43" s="16">
        <v>735</v>
      </c>
      <c r="I43" s="16">
        <v>705</v>
      </c>
      <c r="J43" s="17">
        <v>690</v>
      </c>
      <c r="K43" s="15">
        <v>675</v>
      </c>
      <c r="L43" s="16">
        <v>623</v>
      </c>
    </row>
    <row r="44" spans="1:12" ht="11.25">
      <c r="A44" s="1" t="s">
        <v>36</v>
      </c>
      <c r="C44" s="18">
        <f aca="true" t="shared" si="8" ref="C44:L44">C42/C13</f>
        <v>0.0354421192693843</v>
      </c>
      <c r="D44" s="18">
        <f t="shared" si="8"/>
        <v>0.04058419191377964</v>
      </c>
      <c r="E44" s="18">
        <f t="shared" si="8"/>
        <v>0.028405753445289554</v>
      </c>
      <c r="F44" s="18">
        <f t="shared" si="8"/>
        <v>0.029157351013800015</v>
      </c>
      <c r="G44" s="19">
        <f t="shared" si="8"/>
        <v>0.03141662391767321</v>
      </c>
      <c r="H44" s="20">
        <f t="shared" si="8"/>
        <v>0.01764705882352941</v>
      </c>
      <c r="I44" s="20">
        <f t="shared" si="8"/>
        <v>0.021973210521194823</v>
      </c>
      <c r="J44" s="21">
        <f t="shared" si="8"/>
        <v>0.024599667299581605</v>
      </c>
      <c r="K44" s="19">
        <f t="shared" si="8"/>
        <v>0.027237354085603113</v>
      </c>
      <c r="L44" s="20">
        <f t="shared" si="8"/>
        <v>0.013118501110646106</v>
      </c>
    </row>
    <row r="45" spans="1:12" ht="11.25">
      <c r="A45" s="1" t="s">
        <v>37</v>
      </c>
      <c r="C45" s="18">
        <f aca="true" t="shared" si="9" ref="C45:L45">C43/C42</f>
        <v>0.46757679180887374</v>
      </c>
      <c r="D45" s="18">
        <f t="shared" si="9"/>
        <v>0.39155035835533764</v>
      </c>
      <c r="E45" s="18">
        <f t="shared" si="9"/>
        <v>0.5005302226935313</v>
      </c>
      <c r="F45" s="18">
        <f t="shared" si="9"/>
        <v>0.47540983606557374</v>
      </c>
      <c r="G45" s="19">
        <f t="shared" si="9"/>
        <v>0.4225630875804057</v>
      </c>
      <c r="H45" s="20">
        <f t="shared" si="9"/>
        <v>0.6586021505376344</v>
      </c>
      <c r="I45" s="20">
        <f t="shared" si="9"/>
        <v>0.5202952029520295</v>
      </c>
      <c r="J45" s="21">
        <f t="shared" si="9"/>
        <v>0.4713114754098361</v>
      </c>
      <c r="K45" s="19">
        <f t="shared" si="9"/>
        <v>0.42857142857142855</v>
      </c>
      <c r="L45" s="20">
        <f t="shared" si="9"/>
        <v>0.7644171779141105</v>
      </c>
    </row>
    <row r="46" spans="1:12" ht="11.25">
      <c r="A46" s="2" t="s">
        <v>38</v>
      </c>
      <c r="B46" s="2"/>
      <c r="C46" s="22">
        <f aca="true" t="shared" si="10" ref="C46:L46">C43/C13</f>
        <v>0.016571912422886175</v>
      </c>
      <c r="D46" s="22">
        <f t="shared" si="10"/>
        <v>0.015890754887402214</v>
      </c>
      <c r="E46" s="22">
        <f t="shared" si="10"/>
        <v>0.014217938097748324</v>
      </c>
      <c r="F46" s="22">
        <f t="shared" si="10"/>
        <v>0.013861691465577057</v>
      </c>
      <c r="G46" s="23">
        <f t="shared" si="10"/>
        <v>0.013275505604004414</v>
      </c>
      <c r="H46" s="22">
        <f t="shared" si="10"/>
        <v>0.011622390891840606</v>
      </c>
      <c r="I46" s="22">
        <f t="shared" si="10"/>
        <v>0.011432556027632731</v>
      </c>
      <c r="J46" s="24">
        <f t="shared" si="10"/>
        <v>0.011594105489556904</v>
      </c>
      <c r="K46" s="23">
        <f t="shared" si="10"/>
        <v>0.011673151750972763</v>
      </c>
      <c r="L46" s="22">
        <f t="shared" si="10"/>
        <v>0.01002800759746322</v>
      </c>
    </row>
    <row r="47" spans="1:12" ht="11.25">
      <c r="A47" s="4" t="s">
        <v>39</v>
      </c>
      <c r="G47" s="15"/>
      <c r="H47" s="16"/>
      <c r="I47" s="16"/>
      <c r="J47" s="17"/>
      <c r="K47" s="15"/>
      <c r="L47" s="16"/>
    </row>
    <row r="48" spans="1:12" ht="11.25">
      <c r="A48" s="1" t="s">
        <v>40</v>
      </c>
      <c r="C48" s="18">
        <f aca="true" t="shared" si="11" ref="C48:L48">C25/(C13+C16)</f>
        <v>0.12809702998015596</v>
      </c>
      <c r="D48" s="18">
        <f t="shared" si="11"/>
        <v>0.12396809163428103</v>
      </c>
      <c r="E48" s="18">
        <f t="shared" si="11"/>
        <v>0.1215703241712042</v>
      </c>
      <c r="F48" s="18">
        <f t="shared" si="11"/>
        <v>0.11503225499675072</v>
      </c>
      <c r="G48" s="19">
        <f t="shared" si="11"/>
        <v>0.12053652062604543</v>
      </c>
      <c r="H48" s="20">
        <f t="shared" si="11"/>
        <v>0.11724050972078838</v>
      </c>
      <c r="I48" s="20">
        <f t="shared" si="11"/>
        <v>0.14238625580582331</v>
      </c>
      <c r="J48" s="21">
        <f t="shared" si="11"/>
        <v>0.1402558118570899</v>
      </c>
      <c r="K48" s="19">
        <f t="shared" si="11"/>
        <v>0.13938541032157786</v>
      </c>
      <c r="L48" s="20">
        <f t="shared" si="11"/>
        <v>0.12675508250859793</v>
      </c>
    </row>
    <row r="49" spans="1:12" ht="11.25">
      <c r="A49" s="2" t="s">
        <v>41</v>
      </c>
      <c r="B49" s="2"/>
      <c r="C49" s="22">
        <f aca="true" t="shared" si="12" ref="C49:L49">C25/C13</f>
        <v>0.23522741018507318</v>
      </c>
      <c r="D49" s="22">
        <f t="shared" si="12"/>
        <v>0.2319621561213086</v>
      </c>
      <c r="E49" s="22">
        <f t="shared" si="12"/>
        <v>0.22429399804202124</v>
      </c>
      <c r="F49" s="22">
        <f t="shared" si="12"/>
        <v>0.22380695397425024</v>
      </c>
      <c r="G49" s="23">
        <f t="shared" si="12"/>
        <v>0.23860156383590606</v>
      </c>
      <c r="H49" s="22">
        <f t="shared" si="12"/>
        <v>0.23524667931688806</v>
      </c>
      <c r="I49" s="22">
        <f t="shared" si="12"/>
        <v>0.23116466123958096</v>
      </c>
      <c r="J49" s="24">
        <f t="shared" si="12"/>
        <v>0.23529312923226858</v>
      </c>
      <c r="K49" s="23">
        <f t="shared" si="12"/>
        <v>0.2295201037613489</v>
      </c>
      <c r="L49" s="22">
        <f t="shared" si="12"/>
        <v>0.19399285323375076</v>
      </c>
    </row>
    <row r="50" spans="1:12" ht="11.25">
      <c r="A50" s="4" t="s">
        <v>42</v>
      </c>
      <c r="G50" s="15"/>
      <c r="H50" s="16"/>
      <c r="I50" s="16"/>
      <c r="J50" s="17"/>
      <c r="K50" s="15"/>
      <c r="L50" s="16"/>
    </row>
    <row r="51" spans="1:12" ht="11.25">
      <c r="A51" s="1" t="s">
        <v>43</v>
      </c>
      <c r="C51" s="25">
        <f aca="true" t="shared" si="13" ref="C51:L51">C12/C17</f>
        <v>0.16277785106523315</v>
      </c>
      <c r="D51" s="25">
        <f t="shared" si="13"/>
        <v>0.19615947300678727</v>
      </c>
      <c r="E51" s="25">
        <f t="shared" si="13"/>
        <v>0.13650562961478066</v>
      </c>
      <c r="F51" s="25">
        <f t="shared" si="13"/>
        <v>0.18011389241673154</v>
      </c>
      <c r="G51" s="26">
        <f t="shared" si="13"/>
        <v>0.1486283997019898</v>
      </c>
      <c r="H51" s="27">
        <f t="shared" si="13"/>
        <v>0.23171910739410326</v>
      </c>
      <c r="I51" s="27">
        <f t="shared" si="13"/>
        <v>0.31526364647383753</v>
      </c>
      <c r="J51" s="28">
        <f t="shared" si="13"/>
        <v>0.28823651140040635</v>
      </c>
      <c r="K51" s="26">
        <f t="shared" si="13"/>
        <v>0.33937629067100616</v>
      </c>
      <c r="L51" s="27">
        <f t="shared" si="13"/>
        <v>0.3162723367455327</v>
      </c>
    </row>
    <row r="52" spans="1:12" ht="11.25">
      <c r="A52" s="1" t="s">
        <v>44</v>
      </c>
      <c r="C52" s="25">
        <f aca="true" t="shared" si="14" ref="C52:L52">C12/C11</f>
        <v>0.135607772565235</v>
      </c>
      <c r="D52" s="25">
        <f t="shared" si="14"/>
        <v>0.1630202969803674</v>
      </c>
      <c r="E52" s="25">
        <f t="shared" si="14"/>
        <v>0.11336473297586759</v>
      </c>
      <c r="F52" s="25">
        <f t="shared" si="14"/>
        <v>0.14550774139311978</v>
      </c>
      <c r="G52" s="26">
        <f t="shared" si="14"/>
        <v>0.11870616630229122</v>
      </c>
      <c r="H52" s="27">
        <f t="shared" si="14"/>
        <v>0.1870344757578449</v>
      </c>
      <c r="I52" s="27">
        <f t="shared" si="14"/>
        <v>0.2486642840054806</v>
      </c>
      <c r="J52" s="28">
        <f t="shared" si="14"/>
        <v>0.22169408632489762</v>
      </c>
      <c r="K52" s="26">
        <f t="shared" si="14"/>
        <v>0.2660191857255815</v>
      </c>
      <c r="L52" s="27">
        <f t="shared" si="14"/>
        <v>0.2568965648884104</v>
      </c>
    </row>
    <row r="53" spans="1:12" ht="11.25">
      <c r="A53" s="2" t="s">
        <v>45</v>
      </c>
      <c r="B53" s="2"/>
      <c r="C53" s="29">
        <f aca="true" t="shared" si="15" ref="C53:L53">(C12+C16)/C17</f>
        <v>0.6188081261130532</v>
      </c>
      <c r="D53" s="29">
        <f t="shared" si="15"/>
        <v>0.6510748519030755</v>
      </c>
      <c r="E53" s="29">
        <f t="shared" si="15"/>
        <v>0.6051000634793358</v>
      </c>
      <c r="F53" s="29">
        <f t="shared" si="15"/>
        <v>0.6826088737760662</v>
      </c>
      <c r="G53" s="30">
        <f t="shared" si="15"/>
        <v>0.6760897044174152</v>
      </c>
      <c r="H53" s="29">
        <f t="shared" si="15"/>
        <v>0.7320453062732367</v>
      </c>
      <c r="I53" s="29">
        <f t="shared" si="15"/>
        <v>0.6686519425372929</v>
      </c>
      <c r="J53" s="31">
        <f t="shared" si="15"/>
        <v>0.6675539920234781</v>
      </c>
      <c r="K53" s="30">
        <f t="shared" si="15"/>
        <v>0.695225587879826</v>
      </c>
      <c r="L53" s="29">
        <f t="shared" si="15"/>
        <v>0.626049274790145</v>
      </c>
    </row>
    <row r="54" spans="1:12" ht="11.25">
      <c r="A54" s="4" t="s">
        <v>46</v>
      </c>
      <c r="G54" s="15"/>
      <c r="H54" s="16"/>
      <c r="I54" s="16"/>
      <c r="J54" s="17"/>
      <c r="K54" s="15"/>
      <c r="L54" s="16"/>
    </row>
    <row r="55" spans="1:12" ht="11.25">
      <c r="A55" s="1" t="s">
        <v>47</v>
      </c>
      <c r="B55" s="16"/>
      <c r="C55" s="20">
        <f>(C40)/C28</f>
        <v>0.018312927576310565</v>
      </c>
      <c r="D55" s="18">
        <f>((D40)/0.75)/D28</f>
        <v>0.020049400953229664</v>
      </c>
      <c r="E55" s="18">
        <f>((E40)/0.5)/E28</f>
        <v>0.028983163531166336</v>
      </c>
      <c r="F55" s="18">
        <f>((F40)/0.25)/F28</f>
        <v>0.018228394706686548</v>
      </c>
      <c r="G55" s="19">
        <f>(G40)/G28</f>
        <v>0.018871569979825392</v>
      </c>
      <c r="H55" s="20">
        <f>((H40)/0.75)/H28</f>
        <v>0.02041505610387661</v>
      </c>
      <c r="I55" s="20">
        <f>((I40)/0.5)/I28</f>
        <v>0.021977072100787674</v>
      </c>
      <c r="J55" s="21">
        <f>((J40)/0.25)/J28</f>
        <v>0.0295127687472683</v>
      </c>
      <c r="K55" s="19">
        <f>K40/K28</f>
        <v>0.019958065990888025</v>
      </c>
      <c r="L55" s="20">
        <f>L40/L28</f>
        <v>0.023093544611506256</v>
      </c>
    </row>
    <row r="56" spans="1:12" ht="11.25">
      <c r="A56" s="1" t="s">
        <v>48</v>
      </c>
      <c r="B56" s="16"/>
      <c r="C56" s="20">
        <f>(C40)/C27</f>
        <v>0.015435695893752542</v>
      </c>
      <c r="D56" s="18">
        <f>((D40)/0.75)/D27</f>
        <v>0.016209450680928907</v>
      </c>
      <c r="E56" s="18">
        <f>((E40)/0.5)/E27</f>
        <v>0.022870997929841475</v>
      </c>
      <c r="F56" s="18">
        <f>((F40)/0.25)/F27</f>
        <v>0.01424161663088979</v>
      </c>
      <c r="G56" s="19">
        <f>(G40)/G27</f>
        <v>0.014808076748146347</v>
      </c>
      <c r="H56" s="20">
        <f>((H40)/0.75)/H27</f>
        <v>0.015448401204066564</v>
      </c>
      <c r="I56" s="20">
        <f>((I40)/0.5)/I27</f>
        <v>0.015635209199714048</v>
      </c>
      <c r="J56" s="20">
        <f>((J40)/0.25)/J27</f>
        <v>0.02156260454365743</v>
      </c>
      <c r="K56" s="19">
        <f>K40/K27</f>
        <v>0.014330507227510952</v>
      </c>
      <c r="L56" s="20">
        <f>L40/L27</f>
        <v>0.015861421266826672</v>
      </c>
    </row>
    <row r="57" spans="1:12" ht="11.25">
      <c r="A57" s="1" t="s">
        <v>49</v>
      </c>
      <c r="B57" s="16"/>
      <c r="C57" s="20">
        <f>(C40)/C31</f>
        <v>0.1474147414741474</v>
      </c>
      <c r="D57" s="18">
        <f>((D40)/0.75)/D31</f>
        <v>0.16632810505400336</v>
      </c>
      <c r="E57" s="18">
        <f>((E40)/0.5)/E31</f>
        <v>0.2213606889216729</v>
      </c>
      <c r="F57" s="18">
        <f>((F40)/0.25)/F31</f>
        <v>0.1444701591976997</v>
      </c>
      <c r="G57" s="19">
        <f>(G40)/G31</f>
        <v>0.1467453967366619</v>
      </c>
      <c r="H57" s="20">
        <f>((H40)/0.75)/H31</f>
        <v>0.15518470974183426</v>
      </c>
      <c r="I57" s="20">
        <f>((I40)/0.5)/I31</f>
        <v>0.15055514433752776</v>
      </c>
      <c r="J57" s="20">
        <f>((J40)/0.25)/J31</f>
        <v>0.21715160796324656</v>
      </c>
      <c r="K57" s="19">
        <f>K40/K31</f>
        <v>0.14997630706049597</v>
      </c>
      <c r="L57" s="20">
        <f>L40/L31</f>
        <v>0.1847067824834601</v>
      </c>
    </row>
    <row r="58" spans="1:12" ht="11.25">
      <c r="A58" s="1" t="s">
        <v>50</v>
      </c>
      <c r="B58" s="16"/>
      <c r="C58" s="20">
        <f aca="true" t="shared" si="16" ref="C58:L58">(C33)/C28</f>
        <v>0.09431398872926933</v>
      </c>
      <c r="D58" s="20">
        <f t="shared" si="16"/>
        <v>0.07094629854125355</v>
      </c>
      <c r="E58" s="20">
        <f t="shared" si="16"/>
        <v>0.05333944261764864</v>
      </c>
      <c r="F58" s="21">
        <f t="shared" si="16"/>
        <v>0.02603297923644263</v>
      </c>
      <c r="G58" s="20">
        <f t="shared" si="16"/>
        <v>0.0985994599136401</v>
      </c>
      <c r="H58" s="20">
        <f t="shared" si="16"/>
        <v>0.07414530716403347</v>
      </c>
      <c r="I58" s="20">
        <f t="shared" si="16"/>
        <v>0.05405668226167194</v>
      </c>
      <c r="J58" s="20">
        <f t="shared" si="16"/>
        <v>0.02671342643661415</v>
      </c>
      <c r="K58" s="19">
        <f t="shared" si="16"/>
        <v>0.10255440123174583</v>
      </c>
      <c r="L58" s="20">
        <f t="shared" si="16"/>
        <v>0.11966552624471054</v>
      </c>
    </row>
    <row r="59" spans="1:12" ht="11.25">
      <c r="A59" s="1" t="s">
        <v>51</v>
      </c>
      <c r="B59" s="16"/>
      <c r="C59" s="20">
        <f aca="true" t="shared" si="17" ref="C59:L59">(C34)/C28</f>
        <v>0.0703415787061973</v>
      </c>
      <c r="D59" s="20">
        <f t="shared" si="17"/>
        <v>0.052954824621263816</v>
      </c>
      <c r="E59" s="20">
        <f t="shared" si="17"/>
        <v>0.039171293551111354</v>
      </c>
      <c r="F59" s="21">
        <f t="shared" si="17"/>
        <v>0.019458368912623165</v>
      </c>
      <c r="G59" s="20">
        <f t="shared" si="17"/>
        <v>0.07235000471789249</v>
      </c>
      <c r="H59" s="20">
        <f t="shared" si="17"/>
        <v>0.053458175404360715</v>
      </c>
      <c r="I59" s="20">
        <f t="shared" si="17"/>
        <v>0.0397942755885944</v>
      </c>
      <c r="J59" s="20">
        <f t="shared" si="17"/>
        <v>0.018648406768372636</v>
      </c>
      <c r="K59" s="19">
        <f t="shared" si="17"/>
        <v>0.07596466613066806</v>
      </c>
      <c r="L59" s="20">
        <f t="shared" si="17"/>
        <v>0.0897069415683803</v>
      </c>
    </row>
    <row r="60" spans="1:12" ht="11.25">
      <c r="A60" s="1" t="s">
        <v>52</v>
      </c>
      <c r="B60" s="16"/>
      <c r="C60" s="20">
        <f aca="true" t="shared" si="18" ref="C60:L60">(C35)/C28</f>
        <v>0.023972410023072037</v>
      </c>
      <c r="D60" s="20">
        <f t="shared" si="18"/>
        <v>0.017991473919989724</v>
      </c>
      <c r="E60" s="20">
        <f t="shared" si="18"/>
        <v>0.014168149066537294</v>
      </c>
      <c r="F60" s="21">
        <f t="shared" si="18"/>
        <v>0.0065746103238194685</v>
      </c>
      <c r="G60" s="20">
        <f t="shared" si="18"/>
        <v>0.026249455195747607</v>
      </c>
      <c r="H60" s="20">
        <f t="shared" si="18"/>
        <v>0.02068713175967276</v>
      </c>
      <c r="I60" s="20">
        <f t="shared" si="18"/>
        <v>0.014262406673077547</v>
      </c>
      <c r="J60" s="20">
        <f t="shared" si="18"/>
        <v>0.008065019668241514</v>
      </c>
      <c r="K60" s="19">
        <f t="shared" si="18"/>
        <v>0.026589735101077778</v>
      </c>
      <c r="L60" s="20">
        <f t="shared" si="18"/>
        <v>0.02995858467633024</v>
      </c>
    </row>
    <row r="61" spans="1:12" ht="11.25">
      <c r="A61" s="1" t="s">
        <v>53</v>
      </c>
      <c r="B61" s="16"/>
      <c r="C61" s="20">
        <f>(C38)/(C37)</f>
        <v>0.6713794421092855</v>
      </c>
      <c r="D61" s="20">
        <f>(D38/0.75)/(D37/0.75)</f>
        <v>0.5581891949604955</v>
      </c>
      <c r="E61" s="20">
        <f>(E38/0.5)/(E37/0.5)</f>
        <v>0.44273560209424084</v>
      </c>
      <c r="F61" s="21">
        <f>(F38/0.25)/(F37/0.25)</f>
        <v>0.391304347826087</v>
      </c>
      <c r="G61" s="20">
        <f>(G38)/(G37)</f>
        <v>0.39063331559340075</v>
      </c>
      <c r="H61" s="20">
        <f>((H38)/0.75)/((H37)/0.75)</f>
        <v>0.3717044188637208</v>
      </c>
      <c r="I61" s="20">
        <f>((I38)/0.5)/((I37)/0.5)</f>
        <v>0.3833922261484099</v>
      </c>
      <c r="J61" s="20">
        <f>(J38/0.25)/(J37/0.25)</f>
        <v>0.276</v>
      </c>
      <c r="K61" s="19">
        <f>K38/K37</f>
        <v>0.3489531405782652</v>
      </c>
      <c r="L61" s="20">
        <f>L38/L37</f>
        <v>0.3232938160845883</v>
      </c>
    </row>
    <row r="62" spans="1:12" ht="11.25">
      <c r="A62" s="2" t="s">
        <v>54</v>
      </c>
      <c r="B62" s="2"/>
      <c r="C62" s="22">
        <f aca="true" t="shared" si="19" ref="C62:L62">(C36)/C28</f>
        <v>0.03914207391091139</v>
      </c>
      <c r="D62" s="22">
        <f t="shared" si="19"/>
        <v>0.019605167029279297</v>
      </c>
      <c r="E62" s="22">
        <f t="shared" si="19"/>
        <v>0.013287693385801304</v>
      </c>
      <c r="F62" s="24">
        <f t="shared" si="19"/>
        <v>0.0015662261471279218</v>
      </c>
      <c r="G62" s="22">
        <f t="shared" si="19"/>
        <v>0.007521668606244692</v>
      </c>
      <c r="H62" s="22">
        <f t="shared" si="19"/>
        <v>0.004578376552707622</v>
      </c>
      <c r="I62" s="22">
        <f t="shared" si="19"/>
        <v>0.004084234638199479</v>
      </c>
      <c r="J62" s="22">
        <f t="shared" si="19"/>
        <v>0.002341457323037859</v>
      </c>
      <c r="K62" s="19">
        <f t="shared" si="19"/>
        <v>0.005034183048781129</v>
      </c>
      <c r="L62" s="22">
        <f t="shared" si="19"/>
        <v>0.005165661294679031</v>
      </c>
    </row>
    <row r="63" spans="1:12" ht="11.25">
      <c r="A63" s="4" t="s">
        <v>55</v>
      </c>
      <c r="B63" s="16"/>
      <c r="G63" s="15"/>
      <c r="H63" s="16"/>
      <c r="I63" s="16"/>
      <c r="J63" s="17"/>
      <c r="K63" s="15"/>
      <c r="L63" s="16"/>
    </row>
    <row r="64" spans="1:12" ht="11.25">
      <c r="A64" s="1" t="s">
        <v>56</v>
      </c>
      <c r="B64" s="16"/>
      <c r="C64" s="8">
        <v>37</v>
      </c>
      <c r="D64" s="8">
        <v>37</v>
      </c>
      <c r="E64" s="8">
        <v>36</v>
      </c>
      <c r="F64" s="8">
        <v>35</v>
      </c>
      <c r="G64" s="9">
        <v>36</v>
      </c>
      <c r="H64" s="10">
        <v>40</v>
      </c>
      <c r="I64" s="10">
        <v>36</v>
      </c>
      <c r="J64" s="11">
        <v>33</v>
      </c>
      <c r="K64" s="9">
        <v>32</v>
      </c>
      <c r="L64" s="10">
        <v>31</v>
      </c>
    </row>
    <row r="65" spans="1:12" ht="11.25">
      <c r="A65" s="1" t="s">
        <v>57</v>
      </c>
      <c r="B65" s="16"/>
      <c r="C65" s="8">
        <v>3</v>
      </c>
      <c r="D65" s="8">
        <v>3</v>
      </c>
      <c r="E65" s="8">
        <v>3</v>
      </c>
      <c r="F65" s="8">
        <v>3</v>
      </c>
      <c r="G65" s="9">
        <v>3</v>
      </c>
      <c r="H65" s="10">
        <v>3</v>
      </c>
      <c r="I65" s="10">
        <v>3</v>
      </c>
      <c r="J65" s="11">
        <v>3</v>
      </c>
      <c r="K65" s="9">
        <v>3</v>
      </c>
      <c r="L65" s="10">
        <v>3</v>
      </c>
    </row>
    <row r="66" spans="1:12" ht="11.25">
      <c r="A66" s="1" t="s">
        <v>58</v>
      </c>
      <c r="B66" s="16"/>
      <c r="C66" s="32">
        <f aca="true" t="shared" si="20" ref="C66:L66">C13/C64</f>
        <v>1787.4594594594594</v>
      </c>
      <c r="D66" s="32">
        <f t="shared" si="20"/>
        <v>1765.4324324324325</v>
      </c>
      <c r="E66" s="32">
        <f t="shared" si="20"/>
        <v>1844.3055555555557</v>
      </c>
      <c r="F66" s="32">
        <f t="shared" si="20"/>
        <v>1853</v>
      </c>
      <c r="G66" s="33">
        <f t="shared" si="20"/>
        <v>1786.9166666666667</v>
      </c>
      <c r="H66" s="34">
        <f t="shared" si="20"/>
        <v>1581</v>
      </c>
      <c r="I66" s="34">
        <f t="shared" si="20"/>
        <v>1712.9444444444443</v>
      </c>
      <c r="J66" s="35">
        <f t="shared" si="20"/>
        <v>1803.4242424242425</v>
      </c>
      <c r="K66" s="33">
        <f t="shared" si="20"/>
        <v>1807.03125</v>
      </c>
      <c r="L66" s="34">
        <f t="shared" si="20"/>
        <v>2004.0645161290322</v>
      </c>
    </row>
    <row r="67" spans="1:12" ht="11.25">
      <c r="A67" s="1" t="s">
        <v>59</v>
      </c>
      <c r="B67" s="16"/>
      <c r="C67" s="32">
        <f aca="true" t="shared" si="21" ref="C67:L67">C17/C64</f>
        <v>3278.054054054054</v>
      </c>
      <c r="D67" s="32">
        <f t="shared" si="21"/>
        <v>3380.7297297297296</v>
      </c>
      <c r="E67" s="32">
        <f t="shared" si="21"/>
        <v>3325.6666666666665</v>
      </c>
      <c r="F67" s="32">
        <f t="shared" si="21"/>
        <v>3487</v>
      </c>
      <c r="G67" s="33">
        <f t="shared" si="21"/>
        <v>3318.3055555555557</v>
      </c>
      <c r="H67" s="34">
        <f t="shared" si="21"/>
        <v>3180.575</v>
      </c>
      <c r="I67" s="34">
        <f t="shared" si="21"/>
        <v>3022.25</v>
      </c>
      <c r="J67" s="35">
        <f t="shared" si="21"/>
        <v>3221.5757575757575</v>
      </c>
      <c r="K67" s="33">
        <f t="shared" si="21"/>
        <v>3283.78125</v>
      </c>
      <c r="L67" s="34">
        <f t="shared" si="21"/>
        <v>3431.7096774193546</v>
      </c>
    </row>
    <row r="68" spans="1:12" ht="11.25">
      <c r="A68" s="2" t="s">
        <v>60</v>
      </c>
      <c r="B68" s="2"/>
      <c r="C68" s="36">
        <f aca="true" t="shared" si="22" ref="C68:L68">C40/C64</f>
        <v>61.567567567567565</v>
      </c>
      <c r="D68" s="36">
        <f t="shared" si="22"/>
        <v>50.62162162162162</v>
      </c>
      <c r="E68" s="36">
        <f t="shared" si="22"/>
        <v>44.80555555555556</v>
      </c>
      <c r="F68" s="36">
        <f t="shared" si="22"/>
        <v>14.714285714285714</v>
      </c>
      <c r="G68" s="37">
        <f t="shared" si="22"/>
        <v>58.333333333333336</v>
      </c>
      <c r="H68" s="36">
        <f t="shared" si="22"/>
        <v>40.8</v>
      </c>
      <c r="I68" s="36">
        <f t="shared" si="22"/>
        <v>28.25</v>
      </c>
      <c r="J68" s="38">
        <f t="shared" si="22"/>
        <v>21.484848484848484</v>
      </c>
      <c r="K68" s="37">
        <f t="shared" si="22"/>
        <v>59.34375</v>
      </c>
      <c r="L68" s="36">
        <f t="shared" si="22"/>
        <v>66.19354838709677</v>
      </c>
    </row>
    <row r="69" spans="1:12" ht="11.25">
      <c r="A69" s="4" t="s">
        <v>61</v>
      </c>
      <c r="B69" s="16"/>
      <c r="G69" s="15"/>
      <c r="H69" s="16"/>
      <c r="I69" s="16"/>
      <c r="J69" s="17"/>
      <c r="K69" s="15"/>
      <c r="L69" s="16"/>
    </row>
    <row r="70" spans="1:12" ht="11.25">
      <c r="A70" s="1" t="s">
        <v>62</v>
      </c>
      <c r="B70" s="16"/>
      <c r="C70" s="18">
        <f>(C11-G11)/G11</f>
        <v>-0.02662280789725281</v>
      </c>
      <c r="D70" s="18">
        <f>(D11-H11)/H11</f>
        <v>-0.045064649976525525</v>
      </c>
      <c r="E70" s="18">
        <f>(E11-I11)/I11</f>
        <v>0.0451062410740824</v>
      </c>
      <c r="F70" s="18">
        <f>(F11-J11)/J11</f>
        <v>0.09295915266744802</v>
      </c>
      <c r="G70" s="19">
        <f>(G11-K11)/H11</f>
        <v>0.0984215000824779</v>
      </c>
      <c r="H70" s="20">
        <f>(H11-124093)/124093</f>
        <v>0.2701602830135463</v>
      </c>
      <c r="I70" s="20">
        <f>(I11-122242)/122242</f>
        <v>0.12842558204217863</v>
      </c>
      <c r="J70" s="21">
        <f>(J11-124827)/124827</f>
        <v>0.10730851498473888</v>
      </c>
      <c r="K70" s="19">
        <f>(K11-L11)/L11</f>
        <v>0.023570103305311865</v>
      </c>
      <c r="L70" s="20">
        <f>(L11-127770)/127770</f>
        <v>0.025052829302653203</v>
      </c>
    </row>
    <row r="71" spans="1:12" ht="11.25">
      <c r="A71" s="1" t="s">
        <v>63</v>
      </c>
      <c r="B71" s="16"/>
      <c r="C71" s="18">
        <f aca="true" t="shared" si="23" ref="C71:G73">(C13-G13)/G13</f>
        <v>0.028089974972407467</v>
      </c>
      <c r="D71" s="18">
        <f t="shared" si="23"/>
        <v>0.03290638836179633</v>
      </c>
      <c r="E71" s="18">
        <f t="shared" si="23"/>
        <v>0.07668731553854637</v>
      </c>
      <c r="F71" s="18">
        <f t="shared" si="23"/>
        <v>0.08976190076117822</v>
      </c>
      <c r="G71" s="19">
        <f t="shared" si="23"/>
        <v>0.11247730220492866</v>
      </c>
      <c r="H71" s="20">
        <f>H13/52716-1</f>
        <v>0.19963578420213968</v>
      </c>
      <c r="I71" s="20">
        <f>I13/52358-1</f>
        <v>0.17777608006417367</v>
      </c>
      <c r="J71" s="21">
        <f>J13/60390-1</f>
        <v>-0.014522271899321093</v>
      </c>
      <c r="K71" s="19">
        <f>(K13-L13)/L13*100</f>
        <v>-6.9230273959372886</v>
      </c>
      <c r="L71" s="20">
        <f>(L13-63764)/63764</f>
        <v>-0.025688476256194717</v>
      </c>
    </row>
    <row r="72" spans="2:12" ht="11.25">
      <c r="B72" s="16" t="s">
        <v>14</v>
      </c>
      <c r="C72" s="18">
        <f t="shared" si="23"/>
        <v>0.010055241760288002</v>
      </c>
      <c r="D72" s="18">
        <f t="shared" si="23"/>
        <v>0.02808235218974217</v>
      </c>
      <c r="E72" s="18">
        <f t="shared" si="23"/>
        <v>0.08335525738840656</v>
      </c>
      <c r="F72" s="18">
        <f t="shared" si="23"/>
        <v>0.10262068965517242</v>
      </c>
      <c r="G72" s="19">
        <f t="shared" si="23"/>
        <v>0.15568361149634163</v>
      </c>
      <c r="H72" s="20">
        <f>H14/36113-1</f>
        <v>0.3006119679893666</v>
      </c>
      <c r="I72" s="20">
        <f>I14/36204-1</f>
        <v>0.25986078886310904</v>
      </c>
      <c r="J72" s="21">
        <f>J14/44156-1</f>
        <v>-0.01485641815381833</v>
      </c>
      <c r="K72" s="19">
        <f>(K14-L14)/L14*100</f>
        <v>-8.689576874372298</v>
      </c>
      <c r="L72" s="20">
        <f>(L14-44461)/44461</f>
        <v>0.030161264928814015</v>
      </c>
    </row>
    <row r="73" spans="2:12" ht="11.25">
      <c r="B73" s="16" t="s">
        <v>15</v>
      </c>
      <c r="C73" s="20">
        <f t="shared" si="23"/>
        <v>0.08258314578644661</v>
      </c>
      <c r="D73" s="18">
        <f t="shared" si="23"/>
        <v>0.04683178661422162</v>
      </c>
      <c r="E73" s="18">
        <f t="shared" si="23"/>
        <v>0.057742618662015695</v>
      </c>
      <c r="F73" s="18">
        <f t="shared" si="23"/>
        <v>0.05483045025916443</v>
      </c>
      <c r="G73" s="19">
        <f t="shared" si="23"/>
        <v>-0.000437417984127976</v>
      </c>
      <c r="H73" s="20">
        <f>H15/16603-1</f>
        <v>-0.01999638619526589</v>
      </c>
      <c r="I73" s="20">
        <f>I15/16153-1</f>
        <v>-0.006128892465795843</v>
      </c>
      <c r="J73" s="21">
        <f>J15/16234-1</f>
        <v>-0.013613403966982851</v>
      </c>
      <c r="K73" s="19">
        <f>(K15-L15)/L15*100</f>
        <v>-1.9664297966184758</v>
      </c>
      <c r="L73" s="20">
        <f>(L15-19303)/19303</f>
        <v>-0.1543283427446511</v>
      </c>
    </row>
    <row r="74" spans="1:12" ht="11.25">
      <c r="A74" s="1" t="s">
        <v>64</v>
      </c>
      <c r="B74" s="16"/>
      <c r="C74" s="18">
        <f>(C17-G17)/G17</f>
        <v>0.015310692371441248</v>
      </c>
      <c r="D74" s="18">
        <f>(D17-H17)/H17</f>
        <v>-0.016789417007930955</v>
      </c>
      <c r="E74" s="18">
        <f>(E17-I17)/I17</f>
        <v>0.10039429784652715</v>
      </c>
      <c r="F74" s="18">
        <f>(F17-J17)/J17</f>
        <v>0.1479889382195801</v>
      </c>
      <c r="G74" s="19">
        <f>(G17-K17)/K17</f>
        <v>0.13682778047411046</v>
      </c>
      <c r="H74" s="20">
        <f>H17/100550-1</f>
        <v>0.2652710094480357</v>
      </c>
      <c r="I74" s="20">
        <f>I17/100568-1</f>
        <v>0.08186500676159425</v>
      </c>
      <c r="J74" s="21">
        <f>J17/103821-1</f>
        <v>0.02399321909825569</v>
      </c>
      <c r="K74" s="19">
        <f>(K17-L17)/L17*100</f>
        <v>-1.223879755224049</v>
      </c>
      <c r="L74" s="20">
        <f>(L17-109660)/109660</f>
        <v>-0.029883275579062556</v>
      </c>
    </row>
    <row r="75" spans="2:12" ht="11.25">
      <c r="B75" s="16" t="s">
        <v>14</v>
      </c>
      <c r="C75" s="18">
        <f>(C18-G18)/G18</f>
        <v>0.009217376461551591</v>
      </c>
      <c r="D75" s="18">
        <f>(D18-H18)/H18</f>
        <v>-0.0035622583296966498</v>
      </c>
      <c r="E75" s="18">
        <f>(E18-I18)/I18</f>
        <v>0.16029975558009404</v>
      </c>
      <c r="F75" s="18">
        <f>(F18-J18)/J18</f>
        <v>0.2424172172636297</v>
      </c>
      <c r="G75" s="19">
        <f>(G18-K18)/H18</f>
        <v>0.1723787969512752</v>
      </c>
      <c r="H75" s="20">
        <f>H18/70048-1</f>
        <v>0.40664972590223836</v>
      </c>
      <c r="I75" s="20">
        <f>I18/68828-1</f>
        <v>0.1710205149067241</v>
      </c>
      <c r="J75" s="21">
        <f>J18/71665-1</f>
        <v>0.0834158933928697</v>
      </c>
      <c r="K75" s="19">
        <f>(K18-L18)/L18*100</f>
        <v>1.9784220456538493</v>
      </c>
      <c r="L75" s="20">
        <f>(L18-74971)/74971</f>
        <v>0.003881500846994171</v>
      </c>
    </row>
    <row r="76" spans="2:12" ht="11.25">
      <c r="B76" s="16" t="s">
        <v>15</v>
      </c>
      <c r="C76" s="18">
        <f>(C22-G22)/G22</f>
        <v>0.037515064339307236</v>
      </c>
      <c r="D76" s="18">
        <f>(D22-H22)/H22</f>
        <v>-0.062216800278842806</v>
      </c>
      <c r="E76" s="18">
        <f>(E22-I22)/I22</f>
        <v>-0.07081058080987164</v>
      </c>
      <c r="F76" s="18">
        <f>(F22-J22)/J22</f>
        <v>-0.10774704384526841</v>
      </c>
      <c r="G76" s="19">
        <f>(G22-K22)/K22</f>
        <v>-0.09202259089304624</v>
      </c>
      <c r="H76" s="20">
        <f>H22/30502-1</f>
        <v>-0.05940594059405946</v>
      </c>
      <c r="I76" s="20">
        <f>I22/31741-1</f>
        <v>-0.11149617214328467</v>
      </c>
      <c r="J76" s="21">
        <f>J22/32156-1</f>
        <v>-0.10844010449060826</v>
      </c>
      <c r="K76" s="19">
        <f>(K22-L22)/L22</f>
        <v>-0.08968220815526494</v>
      </c>
      <c r="L76" s="20">
        <f>(L22-34690)/34690</f>
        <v>-0.10288267512251369</v>
      </c>
    </row>
    <row r="77" spans="1:12" ht="11.25">
      <c r="A77" s="1" t="s">
        <v>65</v>
      </c>
      <c r="B77" s="16"/>
      <c r="C77" s="18">
        <f>C25/G25-1</f>
        <v>0.013551371424848524</v>
      </c>
      <c r="D77" s="18">
        <f>D25/H25-1</f>
        <v>0.018484909591987675</v>
      </c>
      <c r="E77" s="18">
        <f>E25/I25-1</f>
        <v>0.044686075061382</v>
      </c>
      <c r="F77" s="18">
        <f>(F25-J25)/J25</f>
        <v>0.03656359351567521</v>
      </c>
      <c r="G77" s="19">
        <f>(G25-K25)/K25</f>
        <v>0.1564948764315853</v>
      </c>
      <c r="H77" s="20">
        <f>(H25-13168)/13168</f>
        <v>0.1297843256379101</v>
      </c>
      <c r="I77" s="20">
        <f>(I25-12765)/12765</f>
        <v>0.11672542107324715</v>
      </c>
      <c r="J77" s="21">
        <f>(J25-12118)/12118</f>
        <v>0.15555372173626011</v>
      </c>
      <c r="K77" s="19">
        <f>(K25-L25)/L25</f>
        <v>0.10122801194822437</v>
      </c>
      <c r="L77" s="20">
        <f>(L25-10166)/10166</f>
        <v>0.18552036199095023</v>
      </c>
    </row>
    <row r="78" spans="1:12" ht="11.25">
      <c r="A78" s="2" t="s">
        <v>66</v>
      </c>
      <c r="B78" s="2"/>
      <c r="C78" s="22">
        <f>(C40-G40)/G40</f>
        <v>0.08476190476190476</v>
      </c>
      <c r="D78" s="22">
        <f>(D40-H40)/H40</f>
        <v>0.14767156862745098</v>
      </c>
      <c r="E78" s="22">
        <f>(E40-I40)/I40</f>
        <v>0.5860373647984267</v>
      </c>
      <c r="F78" s="22">
        <f>F40/J40-1</f>
        <v>-0.2736248236953456</v>
      </c>
      <c r="G78" s="23">
        <f>G40/K40-1</f>
        <v>0.10584518167456558</v>
      </c>
      <c r="H78" s="22">
        <f>H40/1551-1</f>
        <v>0.05222437137330749</v>
      </c>
      <c r="I78" s="22">
        <f>I40/1146-1</f>
        <v>-0.11256544502617805</v>
      </c>
      <c r="J78" s="24">
        <f>J40/500-1</f>
        <v>0.4179999999999999</v>
      </c>
      <c r="K78" s="23">
        <f>K40/L40-1</f>
        <v>-0.07456140350877194</v>
      </c>
      <c r="L78" s="22">
        <f>(L40-1666)/1666</f>
        <v>0.23169267707082833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805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2002-03-25T14:28:03Z</cp:lastPrinted>
  <dcterms:created xsi:type="dcterms:W3CDTF">2002-03-19T15:01:55Z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