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China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<sst xmlns="http://schemas.openxmlformats.org/spreadsheetml/2006/main" count="84" uniqueCount="68">
  <si>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No. 18-46</t>
  </si>
  <si>
    <t>BANK OF CHINA</t>
  </si>
  <si>
    <t>ESTADISTICA FINANCIERA. AÑO  1999, TRIMESTRES DE 2000 Y 2001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</si>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</sst>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1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2" fillId="0" borderId="0" xfId="15" applyNumberFormat="1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1" xfId="0" applyNumberFormat="1" applyFont="1" applyBorder="1" applyAlignment="1">
      <alignment/>
    </xf>
    <xf numFmtId="10" fontId="2" fillId="0" borderId="0" xfId="19" applyNumberFormat="1" applyFont="1" applyAlignment="1">
      <alignment/>
    </xf>
    <xf numFmtId="10" fontId="2" fillId="0" borderId="3" xfId="19" applyNumberFormat="1" applyFont="1" applyBorder="1" applyAlignment="1">
      <alignment/>
    </xf>
    <xf numFmtId="10" fontId="2" fillId="0" borderId="0" xfId="19" applyNumberFormat="1" applyFont="1" applyBorder="1" applyAlignment="1">
      <alignment/>
    </xf>
    <xf numFmtId="10" fontId="2" fillId="0" borderId="4" xfId="19" applyNumberFormat="1" applyFont="1" applyBorder="1" applyAlignment="1">
      <alignment/>
    </xf>
    <xf numFmtId="10" fontId="2" fillId="0" borderId="1" xfId="19" applyNumberFormat="1" applyFont="1" applyBorder="1" applyAlignment="1">
      <alignment/>
    </xf>
    <xf numFmtId="10" fontId="2" fillId="0" borderId="5" xfId="19" applyNumberFormat="1" applyFont="1" applyBorder="1" applyAlignment="1">
      <alignment/>
    </xf>
    <xf numFmtId="10" fontId="2" fillId="0" borderId="6" xfId="19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181" fontId="2" fillId="0" borderId="0" xfId="19" applyNumberFormat="1" applyFont="1" applyAlignment="1">
      <alignment/>
    </xf>
    <xf numFmtId="181" fontId="2" fillId="0" borderId="3" xfId="19" applyNumberFormat="1" applyFont="1" applyBorder="1" applyAlignment="1">
      <alignment/>
    </xf>
    <xf numFmtId="181" fontId="2" fillId="0" borderId="0" xfId="19" applyNumberFormat="1" applyFont="1" applyBorder="1" applyAlignment="1">
      <alignment/>
    </xf>
    <xf numFmtId="181" fontId="2" fillId="0" borderId="4" xfId="19" applyNumberFormat="1" applyFont="1" applyBorder="1" applyAlignment="1">
      <alignment/>
    </xf>
    <xf numFmtId="181" fontId="2" fillId="0" borderId="1" xfId="19" applyNumberFormat="1" applyFont="1" applyBorder="1" applyAlignment="1">
      <alignment/>
    </xf>
    <xf numFmtId="181" fontId="2" fillId="0" borderId="5" xfId="19" applyNumberFormat="1" applyFont="1" applyBorder="1" applyAlignment="1">
      <alignment/>
    </xf>
    <xf numFmtId="181" fontId="2" fillId="0" borderId="6" xfId="19" applyNumberFormat="1" applyFont="1" applyBorder="1" applyAlignment="1">
      <alignment/>
    </xf>
    <xf numFmtId="10" fontId="2" fillId="0" borderId="0" xfId="19" applyNumberFormat="1" applyFont="1" applyFill="1" applyBorder="1" applyAlignment="1">
      <alignment/>
    </xf>
    <xf numFmtId="10" fontId="2" fillId="0" borderId="3" xfId="19" applyNumberFormat="1" applyFont="1" applyFill="1" applyBorder="1" applyAlignment="1">
      <alignment/>
    </xf>
    <xf numFmtId="10" fontId="2" fillId="0" borderId="1" xfId="19" applyNumberFormat="1" applyFont="1" applyFill="1" applyBorder="1" applyAlignment="1">
      <alignment/>
    </xf>
    <xf numFmtId="10" fontId="2" fillId="0" borderId="5" xfId="19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15" applyNumberFormat="1" applyFont="1" applyAlignment="1">
      <alignment/>
    </xf>
    <xf numFmtId="3" fontId="2" fillId="0" borderId="1" xfId="15" applyNumberFormat="1" applyFont="1" applyBorder="1" applyAlignment="1">
      <alignment/>
    </xf>
    <xf numFmtId="3" fontId="2" fillId="0" borderId="5" xfId="15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40" sqref="E40"/>
    </sheetView>
  </sheetViews>
  <sheetFormatPr defaultColWidth="11.421875" defaultRowHeight="12.75"/>
  <cols>
    <col min="1" max="1" width="3.140625" style="1" customWidth="1"/>
    <col min="2" max="2" width="41.00390625" style="1" customWidth="1"/>
    <col min="3" max="3" width="8.421875" style="1" customWidth="1"/>
    <col min="4" max="4" width="9.8515625" style="1" customWidth="1"/>
    <col min="5" max="5" width="7.140625" style="1" bestFit="1" customWidth="1"/>
    <col min="6" max="6" width="7.7109375" style="1" bestFit="1" customWidth="1"/>
    <col min="7" max="7" width="8.7109375" style="1" customWidth="1"/>
    <col min="8" max="8" width="10.00390625" style="1" customWidth="1"/>
    <col min="9" max="9" width="7.140625" style="1" bestFit="1" customWidth="1"/>
    <col min="10" max="10" width="7.7109375" style="1" bestFit="1" customWidth="1"/>
    <col min="11" max="11" width="6.8515625" style="1" bestFit="1" customWidth="1"/>
    <col min="12" max="12" width="6.421875" style="1" hidden="1" customWidth="1"/>
    <col min="13" max="16384" width="11.421875" style="1" customWidth="1"/>
  </cols>
  <sheetData>
    <row r="1" ht="11.25"/>
    <row r="2" spans="2:12" ht="11.25">
      <c r="B2" s="40"/>
      <c r="C2" s="40"/>
      <c r="D2" s="40"/>
      <c r="E2" s="40" t="s">
        <v>0</v>
      </c>
      <c r="F2" s="40"/>
      <c r="H2" s="40"/>
      <c r="I2" s="40"/>
      <c r="J2" s="40"/>
      <c r="K2" s="40"/>
      <c r="L2" s="40"/>
    </row>
    <row r="3" spans="2:12" ht="11.25">
      <c r="B3" s="40"/>
      <c r="C3" s="40"/>
      <c r="D3" s="40"/>
      <c r="E3" s="40" t="s">
        <v>1</v>
      </c>
      <c r="F3" s="40"/>
      <c r="H3" s="40"/>
      <c r="I3" s="40"/>
      <c r="J3" s="40"/>
      <c r="K3" s="40"/>
      <c r="L3" s="40"/>
    </row>
    <row r="4" spans="2:12" ht="11.25">
      <c r="B4" s="40"/>
      <c r="C4" s="40"/>
      <c r="D4" s="40"/>
      <c r="E4" s="40" t="s">
        <v>2</v>
      </c>
      <c r="F4" s="40"/>
      <c r="H4" s="40"/>
      <c r="I4" s="40"/>
      <c r="J4" s="40"/>
      <c r="K4" s="40"/>
      <c r="L4" s="40"/>
    </row>
    <row r="5" spans="2:12" ht="11.25">
      <c r="B5" s="39"/>
      <c r="C5" s="39"/>
      <c r="D5" s="39"/>
      <c r="E5" s="39" t="s">
        <v>3</v>
      </c>
      <c r="F5" s="39"/>
      <c r="H5" s="39"/>
      <c r="I5" s="39"/>
      <c r="J5" s="39"/>
      <c r="K5" s="39"/>
      <c r="L5" s="39"/>
    </row>
    <row r="6" spans="1:12" ht="11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3"/>
      <c r="B8" s="3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50" t="s">
        <v>4</v>
      </c>
      <c r="L8" s="50"/>
    </row>
    <row r="9" spans="1:12" s="4" customFormat="1" ht="11.25">
      <c r="A9" s="44"/>
      <c r="B9" s="44"/>
      <c r="C9" s="45" t="s">
        <v>5</v>
      </c>
      <c r="D9" s="44" t="s">
        <v>6</v>
      </c>
      <c r="E9" s="44" t="s">
        <v>7</v>
      </c>
      <c r="F9" s="44" t="s">
        <v>8</v>
      </c>
      <c r="G9" s="46" t="s">
        <v>5</v>
      </c>
      <c r="H9" s="44" t="s">
        <v>6</v>
      </c>
      <c r="I9" s="44" t="s">
        <v>7</v>
      </c>
      <c r="J9" s="47" t="s">
        <v>8</v>
      </c>
      <c r="K9" s="48" t="s">
        <v>9</v>
      </c>
      <c r="L9" s="48" t="s">
        <v>10</v>
      </c>
    </row>
    <row r="10" spans="1:12" ht="11.25">
      <c r="A10" s="4" t="s">
        <v>11</v>
      </c>
      <c r="B10" s="4"/>
      <c r="C10" s="4"/>
      <c r="D10" s="4"/>
      <c r="E10" s="4"/>
      <c r="F10" s="5"/>
      <c r="G10" s="6"/>
      <c r="H10" s="7"/>
      <c r="I10" s="7"/>
      <c r="J10" s="8"/>
      <c r="K10" s="5"/>
      <c r="L10" s="5"/>
    </row>
    <row r="11" spans="1:12" ht="11.25">
      <c r="A11" s="1" t="s">
        <v>12</v>
      </c>
      <c r="C11" s="9">
        <v>85570</v>
      </c>
      <c r="D11" s="9">
        <v>85141</v>
      </c>
      <c r="E11" s="9">
        <v>85749</v>
      </c>
      <c r="F11" s="9">
        <v>85947</v>
      </c>
      <c r="G11" s="10">
        <v>82975</v>
      </c>
      <c r="H11" s="11">
        <v>79599</v>
      </c>
      <c r="I11" s="11">
        <v>48393</v>
      </c>
      <c r="J11" s="12">
        <v>51021</v>
      </c>
      <c r="K11" s="9">
        <v>58901</v>
      </c>
      <c r="L11" s="9">
        <v>68708</v>
      </c>
    </row>
    <row r="12" spans="1:12" ht="11.25">
      <c r="A12" s="1" t="s">
        <v>13</v>
      </c>
      <c r="C12" s="9">
        <v>63298</v>
      </c>
      <c r="D12" s="9">
        <v>62262</v>
      </c>
      <c r="E12" s="9">
        <v>58035</v>
      </c>
      <c r="F12" s="9">
        <v>53858</v>
      </c>
      <c r="G12" s="10">
        <v>54982</v>
      </c>
      <c r="H12" s="11">
        <v>46284</v>
      </c>
      <c r="I12" s="11">
        <v>16539</v>
      </c>
      <c r="J12" s="12">
        <v>18884</v>
      </c>
      <c r="K12" s="9">
        <v>26467</v>
      </c>
      <c r="L12" s="9">
        <v>52631</v>
      </c>
    </row>
    <row r="13" spans="1:12" ht="11.25">
      <c r="A13" s="1" t="s">
        <v>14</v>
      </c>
      <c r="C13" s="9">
        <f aca="true" t="shared" si="0" ref="C13:L13">C14+C15</f>
        <v>10272</v>
      </c>
      <c r="D13" s="9">
        <f t="shared" si="0"/>
        <v>10884</v>
      </c>
      <c r="E13" s="9">
        <f t="shared" si="0"/>
        <v>10054</v>
      </c>
      <c r="F13" s="9">
        <f t="shared" si="0"/>
        <v>12617</v>
      </c>
      <c r="G13" s="10">
        <f t="shared" si="0"/>
        <v>14237</v>
      </c>
      <c r="H13" s="11">
        <f t="shared" si="0"/>
        <v>15066</v>
      </c>
      <c r="I13" s="11">
        <f t="shared" si="0"/>
        <v>14047</v>
      </c>
      <c r="J13" s="12">
        <f t="shared" si="0"/>
        <v>14487</v>
      </c>
      <c r="K13" s="9">
        <f t="shared" si="0"/>
        <v>14405</v>
      </c>
      <c r="L13" s="9">
        <f t="shared" si="0"/>
        <v>9387</v>
      </c>
    </row>
    <row r="14" spans="2:12" ht="11.25">
      <c r="B14" s="1" t="s">
        <v>15</v>
      </c>
      <c r="C14" s="9">
        <v>5593</v>
      </c>
      <c r="D14" s="9">
        <v>5855</v>
      </c>
      <c r="E14" s="9">
        <v>4775</v>
      </c>
      <c r="F14" s="9">
        <v>3588</v>
      </c>
      <c r="G14" s="10">
        <v>4967</v>
      </c>
      <c r="H14" s="11">
        <v>5665</v>
      </c>
      <c r="I14" s="11">
        <v>4579</v>
      </c>
      <c r="J14" s="12">
        <v>5107</v>
      </c>
      <c r="K14" s="9">
        <v>5304</v>
      </c>
      <c r="L14" s="9">
        <v>3702</v>
      </c>
    </row>
    <row r="15" spans="2:12" ht="11.25">
      <c r="B15" s="1" t="s">
        <v>16</v>
      </c>
      <c r="C15" s="9">
        <v>4679</v>
      </c>
      <c r="D15" s="9">
        <v>5029</v>
      </c>
      <c r="E15" s="9">
        <v>5279</v>
      </c>
      <c r="F15" s="9">
        <v>9029</v>
      </c>
      <c r="G15" s="10">
        <v>9270</v>
      </c>
      <c r="H15" s="11">
        <v>9401</v>
      </c>
      <c r="I15" s="11">
        <v>9468</v>
      </c>
      <c r="J15" s="12">
        <v>9380</v>
      </c>
      <c r="K15" s="9">
        <v>9101</v>
      </c>
      <c r="L15" s="9">
        <v>5685</v>
      </c>
    </row>
    <row r="16" spans="1:12" ht="11.25">
      <c r="A16" s="1" t="s">
        <v>17</v>
      </c>
      <c r="C16" s="9">
        <v>9974</v>
      </c>
      <c r="D16" s="9">
        <v>10008</v>
      </c>
      <c r="E16" s="9">
        <v>15119</v>
      </c>
      <c r="F16" s="9">
        <v>17167</v>
      </c>
      <c r="G16" s="10">
        <v>10608</v>
      </c>
      <c r="H16" s="11">
        <v>15637</v>
      </c>
      <c r="I16" s="11">
        <v>15302</v>
      </c>
      <c r="J16" s="12">
        <v>15354</v>
      </c>
      <c r="K16" s="9">
        <v>15462</v>
      </c>
      <c r="L16" s="9">
        <v>4305</v>
      </c>
    </row>
    <row r="17" spans="1:12" ht="11.25">
      <c r="A17" s="1" t="s">
        <v>18</v>
      </c>
      <c r="C17" s="9">
        <f aca="true" t="shared" si="1" ref="C17:L17">C18+C22</f>
        <v>76221</v>
      </c>
      <c r="D17" s="9">
        <f t="shared" si="1"/>
        <v>75675</v>
      </c>
      <c r="E17" s="9">
        <f t="shared" si="1"/>
        <v>77254</v>
      </c>
      <c r="F17" s="9">
        <f t="shared" si="1"/>
        <v>76953</v>
      </c>
      <c r="G17" s="10">
        <f t="shared" si="1"/>
        <v>73670</v>
      </c>
      <c r="H17" s="11">
        <f t="shared" si="1"/>
        <v>72178</v>
      </c>
      <c r="I17" s="11">
        <f t="shared" si="1"/>
        <v>41377</v>
      </c>
      <c r="J17" s="12">
        <f t="shared" si="1"/>
        <v>44123</v>
      </c>
      <c r="K17" s="9">
        <f t="shared" si="1"/>
        <v>52039</v>
      </c>
      <c r="L17" s="9">
        <f t="shared" si="1"/>
        <v>63642</v>
      </c>
    </row>
    <row r="18" spans="2:12" ht="11.25">
      <c r="B18" s="1" t="s">
        <v>15</v>
      </c>
      <c r="C18" s="9">
        <f aca="true" t="shared" si="2" ref="C18:L18">SUM(C19:C21)</f>
        <v>14391</v>
      </c>
      <c r="D18" s="9">
        <f t="shared" si="2"/>
        <v>13613</v>
      </c>
      <c r="E18" s="9">
        <f t="shared" si="2"/>
        <v>12798</v>
      </c>
      <c r="F18" s="9">
        <f t="shared" si="2"/>
        <v>12598</v>
      </c>
      <c r="G18" s="10">
        <f t="shared" si="2"/>
        <v>14378</v>
      </c>
      <c r="H18" s="11">
        <f t="shared" si="2"/>
        <v>15092</v>
      </c>
      <c r="I18" s="11">
        <f t="shared" si="2"/>
        <v>15886</v>
      </c>
      <c r="J18" s="12">
        <f t="shared" si="2"/>
        <v>17392</v>
      </c>
      <c r="K18" s="9">
        <f t="shared" si="2"/>
        <v>15872</v>
      </c>
      <c r="L18" s="9">
        <f t="shared" si="2"/>
        <v>12271</v>
      </c>
    </row>
    <row r="19" spans="2:12" ht="11.25">
      <c r="B19" s="1" t="s">
        <v>19</v>
      </c>
      <c r="C19" s="9">
        <v>0</v>
      </c>
      <c r="D19" s="9">
        <v>0</v>
      </c>
      <c r="E19" s="9">
        <v>0</v>
      </c>
      <c r="F19" s="9">
        <v>0</v>
      </c>
      <c r="G19" s="10">
        <v>0</v>
      </c>
      <c r="H19" s="11">
        <v>0</v>
      </c>
      <c r="I19" s="11">
        <v>0</v>
      </c>
      <c r="J19" s="12">
        <v>0</v>
      </c>
      <c r="K19" s="9">
        <v>0</v>
      </c>
      <c r="L19" s="9">
        <v>0</v>
      </c>
    </row>
    <row r="20" spans="2:12" ht="11.25">
      <c r="B20" s="1" t="s">
        <v>20</v>
      </c>
      <c r="C20" s="9">
        <f>466+13925</f>
        <v>14391</v>
      </c>
      <c r="D20" s="9">
        <v>13613</v>
      </c>
      <c r="E20" s="9">
        <v>12798</v>
      </c>
      <c r="F20" s="9">
        <v>12598</v>
      </c>
      <c r="G20" s="10">
        <v>14378</v>
      </c>
      <c r="H20" s="11">
        <v>15092</v>
      </c>
      <c r="I20" s="11">
        <v>15886</v>
      </c>
      <c r="J20" s="12">
        <v>17392</v>
      </c>
      <c r="K20" s="9">
        <v>15872</v>
      </c>
      <c r="L20" s="9">
        <v>12271</v>
      </c>
    </row>
    <row r="21" spans="2:12" ht="11.25">
      <c r="B21" s="1" t="s">
        <v>21</v>
      </c>
      <c r="C21" s="9">
        <v>0</v>
      </c>
      <c r="D21" s="9">
        <v>0</v>
      </c>
      <c r="E21" s="9">
        <v>0</v>
      </c>
      <c r="F21" s="9">
        <v>0</v>
      </c>
      <c r="G21" s="10">
        <v>0</v>
      </c>
      <c r="H21" s="11">
        <v>0</v>
      </c>
      <c r="I21" s="11">
        <v>0</v>
      </c>
      <c r="J21" s="12">
        <v>0</v>
      </c>
      <c r="K21" s="9">
        <v>0</v>
      </c>
      <c r="L21" s="9">
        <v>0</v>
      </c>
    </row>
    <row r="22" spans="2:12" ht="11.25">
      <c r="B22" s="1" t="s">
        <v>16</v>
      </c>
      <c r="C22" s="9">
        <f aca="true" t="shared" si="3" ref="C22:L22">SUM(C23:C24)</f>
        <v>61830</v>
      </c>
      <c r="D22" s="9">
        <f t="shared" si="3"/>
        <v>62062</v>
      </c>
      <c r="E22" s="9">
        <f t="shared" si="3"/>
        <v>64456</v>
      </c>
      <c r="F22" s="9">
        <f t="shared" si="3"/>
        <v>64355</v>
      </c>
      <c r="G22" s="10">
        <f t="shared" si="3"/>
        <v>59292</v>
      </c>
      <c r="H22" s="11">
        <f t="shared" si="3"/>
        <v>57086</v>
      </c>
      <c r="I22" s="11">
        <f t="shared" si="3"/>
        <v>25491</v>
      </c>
      <c r="J22" s="12">
        <f t="shared" si="3"/>
        <v>26731</v>
      </c>
      <c r="K22" s="9">
        <f t="shared" si="3"/>
        <v>36167</v>
      </c>
      <c r="L22" s="9">
        <f t="shared" si="3"/>
        <v>51371</v>
      </c>
    </row>
    <row r="23" spans="2:12" ht="11.25">
      <c r="B23" s="1" t="s">
        <v>20</v>
      </c>
      <c r="C23" s="9">
        <f>13+50688</f>
        <v>50701</v>
      </c>
      <c r="D23" s="9">
        <v>51949</v>
      </c>
      <c r="E23" s="9">
        <v>48098</v>
      </c>
      <c r="F23" s="9">
        <v>43281</v>
      </c>
      <c r="G23" s="10">
        <v>38967</v>
      </c>
      <c r="H23" s="11">
        <v>37788</v>
      </c>
      <c r="I23" s="11">
        <v>6975</v>
      </c>
      <c r="J23" s="12">
        <v>6957</v>
      </c>
      <c r="K23" s="9">
        <v>7904</v>
      </c>
      <c r="L23" s="9">
        <v>13006</v>
      </c>
    </row>
    <row r="24" spans="2:12" ht="11.25">
      <c r="B24" s="1" t="s">
        <v>21</v>
      </c>
      <c r="C24" s="9">
        <f>9929+1200</f>
        <v>11129</v>
      </c>
      <c r="D24" s="9">
        <v>10113</v>
      </c>
      <c r="E24" s="9">
        <v>16358</v>
      </c>
      <c r="F24" s="9">
        <v>21074</v>
      </c>
      <c r="G24" s="10">
        <v>20325</v>
      </c>
      <c r="H24" s="11">
        <v>19298</v>
      </c>
      <c r="I24" s="11">
        <v>18516</v>
      </c>
      <c r="J24" s="12">
        <v>19774</v>
      </c>
      <c r="K24" s="9">
        <v>28263</v>
      </c>
      <c r="L24" s="9">
        <v>38365</v>
      </c>
    </row>
    <row r="25" spans="1:12" ht="11.25">
      <c r="A25" s="2" t="s">
        <v>22</v>
      </c>
      <c r="B25" s="2"/>
      <c r="C25" s="13">
        <v>8657</v>
      </c>
      <c r="D25" s="13">
        <v>8656</v>
      </c>
      <c r="E25" s="13">
        <v>7409</v>
      </c>
      <c r="F25" s="13">
        <v>7023</v>
      </c>
      <c r="G25" s="14">
        <v>7232</v>
      </c>
      <c r="H25" s="13">
        <v>6456</v>
      </c>
      <c r="I25" s="13">
        <v>6309</v>
      </c>
      <c r="J25" s="15">
        <v>6208</v>
      </c>
      <c r="K25" s="13">
        <v>6123</v>
      </c>
      <c r="L25" s="13">
        <v>4585</v>
      </c>
    </row>
    <row r="26" spans="1:12" ht="11.25">
      <c r="A26" s="4" t="s">
        <v>23</v>
      </c>
      <c r="D26" s="9"/>
      <c r="F26" s="9"/>
      <c r="G26" s="10"/>
      <c r="H26" s="11"/>
      <c r="I26" s="11"/>
      <c r="J26" s="12"/>
      <c r="K26" s="9"/>
      <c r="L26" s="9"/>
    </row>
    <row r="27" spans="1:12" ht="11.25">
      <c r="A27" s="1" t="s">
        <v>12</v>
      </c>
      <c r="C27" s="9">
        <f>(C11+G11)/2</f>
        <v>84272.5</v>
      </c>
      <c r="D27" s="9">
        <f>(D11+H11)/2</f>
        <v>82370</v>
      </c>
      <c r="E27" s="9">
        <f>(E11+I11)/2</f>
        <v>67071</v>
      </c>
      <c r="F27" s="9">
        <f>(F11+J11)/2</f>
        <v>68484</v>
      </c>
      <c r="G27" s="10">
        <f>(G11+58901)/2</f>
        <v>70938</v>
      </c>
      <c r="H27" s="11">
        <f>(H11+60208)/2</f>
        <v>69903.5</v>
      </c>
      <c r="I27" s="11">
        <f>(I11+63929)/2</f>
        <v>56161</v>
      </c>
      <c r="J27" s="12">
        <f>(J11+94915)/2</f>
        <v>72968</v>
      </c>
      <c r="K27" s="9">
        <f>(K11+L11)/2</f>
        <v>63804.5</v>
      </c>
      <c r="L27" s="9">
        <f>(L11+204511)/2</f>
        <v>136609.5</v>
      </c>
    </row>
    <row r="28" spans="1:12" ht="11.25">
      <c r="A28" s="1" t="s">
        <v>24</v>
      </c>
      <c r="C28" s="9">
        <f aca="true" t="shared" si="4" ref="C28:L28">C29+C30</f>
        <v>22545.5</v>
      </c>
      <c r="D28" s="9">
        <f t="shared" si="4"/>
        <v>25797.5</v>
      </c>
      <c r="E28" s="9">
        <f t="shared" si="4"/>
        <v>27261</v>
      </c>
      <c r="F28" s="9">
        <f t="shared" si="4"/>
        <v>29812.5</v>
      </c>
      <c r="G28" s="10">
        <f t="shared" si="4"/>
        <v>27356</v>
      </c>
      <c r="H28" s="11">
        <f t="shared" si="4"/>
        <v>30618.5</v>
      </c>
      <c r="I28" s="11">
        <f t="shared" si="4"/>
        <v>27094.5</v>
      </c>
      <c r="J28" s="12">
        <f t="shared" si="4"/>
        <v>27547</v>
      </c>
      <c r="K28" s="9">
        <f t="shared" si="4"/>
        <v>21779.5</v>
      </c>
      <c r="L28" s="9">
        <f t="shared" si="4"/>
        <v>16414.5</v>
      </c>
    </row>
    <row r="29" spans="2:12" ht="11.25">
      <c r="B29" s="1" t="s">
        <v>14</v>
      </c>
      <c r="C29" s="9">
        <f>(C13+G13)/2</f>
        <v>12254.5</v>
      </c>
      <c r="D29" s="9">
        <f>(D13+H13)/2</f>
        <v>12975</v>
      </c>
      <c r="E29" s="9">
        <f>(E13+I13)/2</f>
        <v>12050.5</v>
      </c>
      <c r="F29" s="9">
        <f>(F13+J13)/2</f>
        <v>13552</v>
      </c>
      <c r="G29" s="10">
        <f>(G13+K13)/2</f>
        <v>14321</v>
      </c>
      <c r="H29" s="11">
        <f>(H13+13710)/2</f>
        <v>14388</v>
      </c>
      <c r="I29" s="11">
        <f>(I13+9449)/2</f>
        <v>11748</v>
      </c>
      <c r="J29" s="12">
        <f>(J13+9770)/2</f>
        <v>12128.5</v>
      </c>
      <c r="K29" s="9">
        <f>(K13+L13)/2</f>
        <v>11896</v>
      </c>
      <c r="L29" s="9">
        <f>(L13+10940)/2</f>
        <v>10163.5</v>
      </c>
    </row>
    <row r="30" spans="2:12" ht="11.25">
      <c r="B30" s="1" t="s">
        <v>17</v>
      </c>
      <c r="C30" s="9">
        <f>(C16+G16)/2</f>
        <v>10291</v>
      </c>
      <c r="D30" s="9">
        <f>(D16+H16)/2</f>
        <v>12822.5</v>
      </c>
      <c r="E30" s="9">
        <f>(E16+I16)/2</f>
        <v>15210.5</v>
      </c>
      <c r="F30" s="9">
        <f>(F16+J16)/2</f>
        <v>16260.5</v>
      </c>
      <c r="G30" s="10">
        <f>(G16+K16)/2</f>
        <v>13035</v>
      </c>
      <c r="H30" s="11">
        <f>(H16+16824)/2</f>
        <v>16230.5</v>
      </c>
      <c r="I30" s="11">
        <f>(I16+15391)/2</f>
        <v>15346.5</v>
      </c>
      <c r="J30" s="12">
        <f>(J16+15483)/2</f>
        <v>15418.5</v>
      </c>
      <c r="K30" s="9">
        <f>(K16+L16)/2</f>
        <v>9883.5</v>
      </c>
      <c r="L30" s="9">
        <f>(L16+8197)/2</f>
        <v>6251</v>
      </c>
    </row>
    <row r="31" spans="1:12" ht="11.25">
      <c r="A31" s="2" t="s">
        <v>22</v>
      </c>
      <c r="B31" s="2"/>
      <c r="C31" s="13">
        <f>(C25+G25)/2</f>
        <v>7944.5</v>
      </c>
      <c r="D31" s="13">
        <f>(D25+H25)/2</f>
        <v>7556</v>
      </c>
      <c r="E31" s="13">
        <f>(E25+I25)/2</f>
        <v>6859</v>
      </c>
      <c r="F31" s="13">
        <f>(F25+J25)/2</f>
        <v>6615.5</v>
      </c>
      <c r="G31" s="14">
        <f>(G25+K25)/2</f>
        <v>6677.5</v>
      </c>
      <c r="H31" s="13">
        <f>(H25+5999)/2</f>
        <v>6227.5</v>
      </c>
      <c r="I31" s="13">
        <f>(I25+5887)/2</f>
        <v>6098</v>
      </c>
      <c r="J31" s="15">
        <f>(J25+4567)/2</f>
        <v>5387.5</v>
      </c>
      <c r="K31" s="13">
        <f>(K25+L25)/2</f>
        <v>5354</v>
      </c>
      <c r="L31" s="13">
        <f>(L25+3029)/2</f>
        <v>3807</v>
      </c>
    </row>
    <row r="32" spans="1:12" ht="11.25">
      <c r="A32" s="4" t="s">
        <v>25</v>
      </c>
      <c r="D32" s="9"/>
      <c r="F32" s="9"/>
      <c r="G32" s="10"/>
      <c r="H32" s="11"/>
      <c r="I32" s="11"/>
      <c r="J32" s="12"/>
      <c r="K32" s="9"/>
      <c r="L32" s="9"/>
    </row>
    <row r="33" spans="1:12" ht="11.25">
      <c r="A33" s="1" t="s">
        <v>26</v>
      </c>
      <c r="C33" s="16">
        <v>3574</v>
      </c>
      <c r="D33" s="9">
        <f>E33+879</f>
        <v>2884</v>
      </c>
      <c r="E33" s="9">
        <f>F33+1044</f>
        <v>2005</v>
      </c>
      <c r="F33" s="9">
        <v>961</v>
      </c>
      <c r="G33" s="10">
        <f>1396+H33</f>
        <v>4302</v>
      </c>
      <c r="H33" s="11">
        <f>1125+I33</f>
        <v>2906</v>
      </c>
      <c r="I33" s="11">
        <f>845+J33</f>
        <v>1781</v>
      </c>
      <c r="J33" s="12">
        <v>936</v>
      </c>
      <c r="K33" s="9">
        <v>4335</v>
      </c>
      <c r="L33" s="9">
        <v>13983</v>
      </c>
    </row>
    <row r="34" spans="1:12" ht="11.25">
      <c r="A34" s="1" t="s">
        <v>27</v>
      </c>
      <c r="C34" s="16">
        <v>2934</v>
      </c>
      <c r="D34" s="9">
        <f>E34+676</f>
        <v>2447</v>
      </c>
      <c r="E34" s="9">
        <f>F34+803</f>
        <v>1771</v>
      </c>
      <c r="F34" s="9">
        <v>968</v>
      </c>
      <c r="G34" s="10">
        <f>1060+H34</f>
        <v>3070</v>
      </c>
      <c r="H34" s="11">
        <f>812+I34</f>
        <v>2010</v>
      </c>
      <c r="I34" s="11">
        <f>587+J34</f>
        <v>1198</v>
      </c>
      <c r="J34" s="12">
        <v>611</v>
      </c>
      <c r="K34" s="9">
        <v>3232</v>
      </c>
      <c r="L34" s="9">
        <v>12907</v>
      </c>
    </row>
    <row r="35" spans="1:12" ht="11.25">
      <c r="A35" s="1" t="s">
        <v>28</v>
      </c>
      <c r="C35" s="9">
        <f aca="true" t="shared" si="5" ref="C35:L35">C33-C34</f>
        <v>640</v>
      </c>
      <c r="D35" s="9">
        <f t="shared" si="5"/>
        <v>437</v>
      </c>
      <c r="E35" s="9">
        <f t="shared" si="5"/>
        <v>234</v>
      </c>
      <c r="F35" s="41">
        <f t="shared" si="5"/>
        <v>-7</v>
      </c>
      <c r="G35" s="10">
        <f t="shared" si="5"/>
        <v>1232</v>
      </c>
      <c r="H35" s="11">
        <f t="shared" si="5"/>
        <v>896</v>
      </c>
      <c r="I35" s="11">
        <f t="shared" si="5"/>
        <v>583</v>
      </c>
      <c r="J35" s="12">
        <f t="shared" si="5"/>
        <v>325</v>
      </c>
      <c r="K35" s="9">
        <f t="shared" si="5"/>
        <v>1103</v>
      </c>
      <c r="L35" s="9">
        <f t="shared" si="5"/>
        <v>1076</v>
      </c>
    </row>
    <row r="36" spans="1:12" ht="11.25">
      <c r="A36" s="1" t="s">
        <v>29</v>
      </c>
      <c r="C36" s="16">
        <v>222</v>
      </c>
      <c r="D36" s="9">
        <f>E36+57</f>
        <v>169</v>
      </c>
      <c r="E36" s="9">
        <f>F36+54</f>
        <v>112</v>
      </c>
      <c r="F36" s="9">
        <v>58</v>
      </c>
      <c r="G36" s="10">
        <f>52+H36</f>
        <v>215</v>
      </c>
      <c r="H36" s="11">
        <f>55+I36</f>
        <v>163</v>
      </c>
      <c r="I36" s="11">
        <f>53+J36</f>
        <v>108</v>
      </c>
      <c r="J36" s="12">
        <v>55</v>
      </c>
      <c r="K36" s="9">
        <v>218</v>
      </c>
      <c r="L36" s="9">
        <v>174</v>
      </c>
    </row>
    <row r="37" spans="1:12" ht="11.25">
      <c r="A37" s="1" t="s">
        <v>30</v>
      </c>
      <c r="C37" s="9">
        <f aca="true" t="shared" si="6" ref="C37:L37">C35+C36</f>
        <v>862</v>
      </c>
      <c r="D37" s="9">
        <f t="shared" si="6"/>
        <v>606</v>
      </c>
      <c r="E37" s="9">
        <f t="shared" si="6"/>
        <v>346</v>
      </c>
      <c r="F37" s="9">
        <f t="shared" si="6"/>
        <v>51</v>
      </c>
      <c r="G37" s="10">
        <f t="shared" si="6"/>
        <v>1447</v>
      </c>
      <c r="H37" s="11">
        <f t="shared" si="6"/>
        <v>1059</v>
      </c>
      <c r="I37" s="11">
        <f t="shared" si="6"/>
        <v>691</v>
      </c>
      <c r="J37" s="12">
        <f t="shared" si="6"/>
        <v>380</v>
      </c>
      <c r="K37" s="9">
        <f t="shared" si="6"/>
        <v>1321</v>
      </c>
      <c r="L37" s="9">
        <f t="shared" si="6"/>
        <v>1250</v>
      </c>
    </row>
    <row r="38" spans="1:12" ht="11.25">
      <c r="A38" s="1" t="s">
        <v>31</v>
      </c>
      <c r="C38" s="16">
        <v>920</v>
      </c>
      <c r="D38" s="9">
        <f>E38+209</f>
        <v>664</v>
      </c>
      <c r="E38" s="9">
        <f>F38+195</f>
        <v>455</v>
      </c>
      <c r="F38" s="9">
        <v>260</v>
      </c>
      <c r="G38" s="10">
        <f>220+H38</f>
        <v>945</v>
      </c>
      <c r="H38" s="11">
        <f>219+I38</f>
        <v>725</v>
      </c>
      <c r="I38" s="11">
        <f>212+J38</f>
        <v>506</v>
      </c>
      <c r="J38" s="12">
        <v>294</v>
      </c>
      <c r="K38" s="9">
        <v>1028</v>
      </c>
      <c r="L38" s="9">
        <v>843</v>
      </c>
    </row>
    <row r="39" spans="1:12" ht="11.25">
      <c r="A39" s="1" t="s">
        <v>32</v>
      </c>
      <c r="C39" s="41">
        <f aca="true" t="shared" si="7" ref="C39:L39">C37-C38</f>
        <v>-58</v>
      </c>
      <c r="D39" s="41">
        <f t="shared" si="7"/>
        <v>-58</v>
      </c>
      <c r="E39" s="41">
        <f t="shared" si="7"/>
        <v>-109</v>
      </c>
      <c r="F39" s="41">
        <f t="shared" si="7"/>
        <v>-209</v>
      </c>
      <c r="G39" s="10">
        <f t="shared" si="7"/>
        <v>502</v>
      </c>
      <c r="H39" s="11">
        <f t="shared" si="7"/>
        <v>334</v>
      </c>
      <c r="I39" s="11">
        <f t="shared" si="7"/>
        <v>185</v>
      </c>
      <c r="J39" s="12">
        <f t="shared" si="7"/>
        <v>86</v>
      </c>
      <c r="K39" s="9">
        <f t="shared" si="7"/>
        <v>293</v>
      </c>
      <c r="L39" s="9">
        <f t="shared" si="7"/>
        <v>407</v>
      </c>
    </row>
    <row r="40" spans="1:12" ht="11.25">
      <c r="A40" s="2" t="s">
        <v>33</v>
      </c>
      <c r="B40" s="2"/>
      <c r="C40" s="17">
        <v>225</v>
      </c>
      <c r="D40" s="13">
        <f>E40+48</f>
        <v>225</v>
      </c>
      <c r="E40" s="13">
        <f>F40+386</f>
        <v>177</v>
      </c>
      <c r="F40" s="42">
        <v>-209</v>
      </c>
      <c r="G40" s="43">
        <f>-475+H40</f>
        <v>-141</v>
      </c>
      <c r="H40" s="13">
        <f>149+I40</f>
        <v>334</v>
      </c>
      <c r="I40" s="13">
        <f>99+J40</f>
        <v>185</v>
      </c>
      <c r="J40" s="15">
        <v>86</v>
      </c>
      <c r="K40" s="13">
        <v>293</v>
      </c>
      <c r="L40" s="13">
        <v>306</v>
      </c>
    </row>
    <row r="41" spans="1:12" ht="11.25">
      <c r="A41" s="4" t="s">
        <v>34</v>
      </c>
      <c r="D41" s="9"/>
      <c r="E41" s="9"/>
      <c r="G41" s="10"/>
      <c r="H41" s="11"/>
      <c r="I41" s="11"/>
      <c r="J41" s="12"/>
      <c r="K41" s="9"/>
      <c r="L41" s="9"/>
    </row>
    <row r="42" spans="1:12" ht="11.25">
      <c r="A42" s="1" t="s">
        <v>35</v>
      </c>
      <c r="C42" s="9">
        <v>113</v>
      </c>
      <c r="D42" s="9">
        <v>114</v>
      </c>
      <c r="E42" s="9">
        <v>114</v>
      </c>
      <c r="F42" s="9">
        <v>3596</v>
      </c>
      <c r="G42" s="10">
        <v>97</v>
      </c>
      <c r="H42" s="11">
        <v>99</v>
      </c>
      <c r="I42" s="11">
        <v>100</v>
      </c>
      <c r="J42" s="12">
        <v>233</v>
      </c>
      <c r="K42" s="9">
        <v>264</v>
      </c>
      <c r="L42" s="9">
        <v>416</v>
      </c>
    </row>
    <row r="43" spans="1:12" ht="11.25">
      <c r="A43" s="1" t="s">
        <v>36</v>
      </c>
      <c r="C43" s="9">
        <v>109</v>
      </c>
      <c r="D43" s="9">
        <v>109</v>
      </c>
      <c r="E43" s="9">
        <v>103</v>
      </c>
      <c r="F43" s="9">
        <v>12</v>
      </c>
      <c r="G43" s="10">
        <v>741</v>
      </c>
      <c r="H43" s="11">
        <v>98</v>
      </c>
      <c r="I43" s="11">
        <v>98</v>
      </c>
      <c r="J43" s="12">
        <v>98</v>
      </c>
      <c r="K43" s="9">
        <v>98</v>
      </c>
      <c r="L43" s="9">
        <v>101</v>
      </c>
    </row>
    <row r="44" spans="1:12" ht="11.25">
      <c r="A44" s="1" t="s">
        <v>37</v>
      </c>
      <c r="C44" s="18">
        <f aca="true" t="shared" si="8" ref="C44:L44">C42/C13</f>
        <v>0.011000778816199376</v>
      </c>
      <c r="D44" s="18">
        <f t="shared" si="8"/>
        <v>0.010474090407938258</v>
      </c>
      <c r="E44" s="18">
        <f t="shared" si="8"/>
        <v>0.01133877063855182</v>
      </c>
      <c r="F44" s="18">
        <f t="shared" si="8"/>
        <v>0.28501228501228504</v>
      </c>
      <c r="G44" s="19">
        <f t="shared" si="8"/>
        <v>0.0068132331249561</v>
      </c>
      <c r="H44" s="20">
        <f t="shared" si="8"/>
        <v>0.006571087216248507</v>
      </c>
      <c r="I44" s="20">
        <f t="shared" si="8"/>
        <v>0.007118957784580338</v>
      </c>
      <c r="J44" s="21">
        <f t="shared" si="8"/>
        <v>0.016083385103886242</v>
      </c>
      <c r="K44" s="18">
        <f t="shared" si="8"/>
        <v>0.01832696980215203</v>
      </c>
      <c r="L44" s="18">
        <f t="shared" si="8"/>
        <v>0.044316608074997335</v>
      </c>
    </row>
    <row r="45" spans="1:12" ht="11.25">
      <c r="A45" s="1" t="s">
        <v>38</v>
      </c>
      <c r="C45" s="18">
        <f aca="true" t="shared" si="9" ref="C45:L45">C43/C42</f>
        <v>0.9646017699115044</v>
      </c>
      <c r="D45" s="18">
        <f t="shared" si="9"/>
        <v>0.956140350877193</v>
      </c>
      <c r="E45" s="18">
        <f t="shared" si="9"/>
        <v>0.9035087719298246</v>
      </c>
      <c r="F45" s="18">
        <f t="shared" si="9"/>
        <v>0.0033370411568409346</v>
      </c>
      <c r="G45" s="19">
        <f t="shared" si="9"/>
        <v>7.639175257731959</v>
      </c>
      <c r="H45" s="20">
        <f t="shared" si="9"/>
        <v>0.98989898989899</v>
      </c>
      <c r="I45" s="20">
        <f t="shared" si="9"/>
        <v>0.98</v>
      </c>
      <c r="J45" s="21">
        <f t="shared" si="9"/>
        <v>0.4206008583690987</v>
      </c>
      <c r="K45" s="18">
        <f t="shared" si="9"/>
        <v>0.3712121212121212</v>
      </c>
      <c r="L45" s="18">
        <f t="shared" si="9"/>
        <v>0.24278846153846154</v>
      </c>
    </row>
    <row r="46" spans="1:12" ht="11.25">
      <c r="A46" s="2" t="s">
        <v>39</v>
      </c>
      <c r="B46" s="2"/>
      <c r="C46" s="22">
        <f aca="true" t="shared" si="10" ref="C46:L46">C43/C13</f>
        <v>0.010611370716510903</v>
      </c>
      <c r="D46" s="22">
        <f t="shared" si="10"/>
        <v>0.010014700477765528</v>
      </c>
      <c r="E46" s="22">
        <f t="shared" si="10"/>
        <v>0.010244678734831907</v>
      </c>
      <c r="F46" s="22">
        <f t="shared" si="10"/>
        <v>0.0009510977252912737</v>
      </c>
      <c r="G46" s="23">
        <f t="shared" si="10"/>
        <v>0.052047481913324437</v>
      </c>
      <c r="H46" s="22">
        <f t="shared" si="10"/>
        <v>0.006504712597902562</v>
      </c>
      <c r="I46" s="22">
        <f t="shared" si="10"/>
        <v>0.006976578628888731</v>
      </c>
      <c r="J46" s="24">
        <f t="shared" si="10"/>
        <v>0.00676468558017533</v>
      </c>
      <c r="K46" s="22">
        <f t="shared" si="10"/>
        <v>0.006803193335647345</v>
      </c>
      <c r="L46" s="22">
        <f t="shared" si="10"/>
        <v>0.010759561095131565</v>
      </c>
    </row>
    <row r="47" spans="1:10" ht="11.25">
      <c r="A47" s="4" t="s">
        <v>40</v>
      </c>
      <c r="G47" s="25"/>
      <c r="H47" s="26"/>
      <c r="I47" s="26"/>
      <c r="J47" s="27"/>
    </row>
    <row r="48" spans="1:12" ht="11.25">
      <c r="A48" s="1" t="s">
        <v>41</v>
      </c>
      <c r="C48" s="18">
        <f aca="true" t="shared" si="11" ref="C48:L48">C25/(C13+C16)</f>
        <v>0.4275906351871975</v>
      </c>
      <c r="D48" s="18">
        <f t="shared" si="11"/>
        <v>0.41432127130001917</v>
      </c>
      <c r="E48" s="18">
        <f t="shared" si="11"/>
        <v>0.2943232828824534</v>
      </c>
      <c r="F48" s="18">
        <f t="shared" si="11"/>
        <v>0.23579774375503626</v>
      </c>
      <c r="G48" s="19">
        <f t="shared" si="11"/>
        <v>0.29108472529684043</v>
      </c>
      <c r="H48" s="20">
        <f t="shared" si="11"/>
        <v>0.2102726117968928</v>
      </c>
      <c r="I48" s="20">
        <f t="shared" si="11"/>
        <v>0.21496473474394356</v>
      </c>
      <c r="J48" s="21">
        <f t="shared" si="11"/>
        <v>0.20803592372909754</v>
      </c>
      <c r="K48" s="18">
        <f t="shared" si="11"/>
        <v>0.20500887266883183</v>
      </c>
      <c r="L48" s="18">
        <f t="shared" si="11"/>
        <v>0.33486707566462165</v>
      </c>
    </row>
    <row r="49" spans="1:12" ht="11.25">
      <c r="A49" s="2" t="s">
        <v>42</v>
      </c>
      <c r="B49" s="2"/>
      <c r="C49" s="22">
        <f>C25/C13</f>
        <v>0.8427764797507789</v>
      </c>
      <c r="D49" s="22">
        <f aca="true" t="shared" si="12" ref="D49:L49">D25/D11</f>
        <v>0.10166664709129561</v>
      </c>
      <c r="E49" s="22">
        <f t="shared" si="12"/>
        <v>0.08640333998064118</v>
      </c>
      <c r="F49" s="22">
        <f t="shared" si="12"/>
        <v>0.08171314880100528</v>
      </c>
      <c r="G49" s="23">
        <f t="shared" si="12"/>
        <v>0.08715878276589334</v>
      </c>
      <c r="H49" s="22">
        <f t="shared" si="12"/>
        <v>0.08110654656465534</v>
      </c>
      <c r="I49" s="22">
        <f t="shared" si="12"/>
        <v>0.13037009484842849</v>
      </c>
      <c r="J49" s="24">
        <f t="shared" si="12"/>
        <v>0.12167538856549263</v>
      </c>
      <c r="K49" s="22">
        <f t="shared" si="12"/>
        <v>0.10395409246022988</v>
      </c>
      <c r="L49" s="22">
        <f t="shared" si="12"/>
        <v>0.06673167607847703</v>
      </c>
    </row>
    <row r="50" spans="1:12" ht="11.25">
      <c r="A50" s="4" t="s">
        <v>43</v>
      </c>
      <c r="F50" s="28"/>
      <c r="G50" s="29"/>
      <c r="H50" s="30"/>
      <c r="I50" s="30"/>
      <c r="J50" s="31"/>
      <c r="K50" s="28"/>
      <c r="L50" s="28"/>
    </row>
    <row r="51" spans="1:12" ht="11.25">
      <c r="A51" s="1" t="s">
        <v>44</v>
      </c>
      <c r="C51" s="28">
        <f aca="true" t="shared" si="13" ref="C51:L51">C12/C17</f>
        <v>0.8304535495467128</v>
      </c>
      <c r="D51" s="28">
        <f t="shared" si="13"/>
        <v>0.8227552031714569</v>
      </c>
      <c r="E51" s="28">
        <f t="shared" si="13"/>
        <v>0.7512232376317084</v>
      </c>
      <c r="F51" s="28">
        <f t="shared" si="13"/>
        <v>0.6998817460008057</v>
      </c>
      <c r="G51" s="29">
        <f t="shared" si="13"/>
        <v>0.7463282204425139</v>
      </c>
      <c r="H51" s="30">
        <f t="shared" si="13"/>
        <v>0.6412480257142066</v>
      </c>
      <c r="I51" s="30">
        <f t="shared" si="13"/>
        <v>0.39971481741063875</v>
      </c>
      <c r="J51" s="31">
        <f t="shared" si="13"/>
        <v>0.4279854044375949</v>
      </c>
      <c r="K51" s="28">
        <f t="shared" si="13"/>
        <v>0.5085993197409635</v>
      </c>
      <c r="L51" s="28">
        <f t="shared" si="13"/>
        <v>0.8269853241570032</v>
      </c>
    </row>
    <row r="52" spans="1:12" ht="11.25">
      <c r="A52" s="1" t="s">
        <v>45</v>
      </c>
      <c r="C52" s="28">
        <f aca="true" t="shared" si="14" ref="C52:L52">C12/C11</f>
        <v>0.7397218651396518</v>
      </c>
      <c r="D52" s="28">
        <f t="shared" si="14"/>
        <v>0.7312810514323299</v>
      </c>
      <c r="E52" s="28">
        <f t="shared" si="14"/>
        <v>0.6768008956372669</v>
      </c>
      <c r="F52" s="28">
        <f t="shared" si="14"/>
        <v>0.626642000302512</v>
      </c>
      <c r="G52" s="29">
        <f t="shared" si="14"/>
        <v>0.6626333232901477</v>
      </c>
      <c r="H52" s="30">
        <f t="shared" si="14"/>
        <v>0.5814645912637093</v>
      </c>
      <c r="I52" s="30">
        <f t="shared" si="14"/>
        <v>0.3417643047548199</v>
      </c>
      <c r="J52" s="31">
        <f t="shared" si="14"/>
        <v>0.37012210658356365</v>
      </c>
      <c r="K52" s="28">
        <f t="shared" si="14"/>
        <v>0.4493472097247925</v>
      </c>
      <c r="L52" s="28">
        <f t="shared" si="14"/>
        <v>0.7660097805204634</v>
      </c>
    </row>
    <row r="53" spans="1:12" ht="11.25">
      <c r="A53" s="2" t="s">
        <v>46</v>
      </c>
      <c r="B53" s="2"/>
      <c r="C53" s="32">
        <f aca="true" t="shared" si="15" ref="C53:L53">(C12+C16)/C17</f>
        <v>0.9613098752312355</v>
      </c>
      <c r="D53" s="32">
        <f t="shared" si="15"/>
        <v>0.9550049554013875</v>
      </c>
      <c r="E53" s="32">
        <f t="shared" si="15"/>
        <v>0.9469283143914878</v>
      </c>
      <c r="F53" s="32">
        <f t="shared" si="15"/>
        <v>0.922965966239133</v>
      </c>
      <c r="G53" s="33">
        <f t="shared" si="15"/>
        <v>0.8903217049002308</v>
      </c>
      <c r="H53" s="32">
        <f t="shared" si="15"/>
        <v>0.8578929867826761</v>
      </c>
      <c r="I53" s="32">
        <f t="shared" si="15"/>
        <v>0.7695337989704425</v>
      </c>
      <c r="J53" s="34">
        <f t="shared" si="15"/>
        <v>0.7759671826485053</v>
      </c>
      <c r="K53" s="32">
        <f t="shared" si="15"/>
        <v>0.8057226311035954</v>
      </c>
      <c r="L53" s="32">
        <f t="shared" si="15"/>
        <v>0.8946293328305207</v>
      </c>
    </row>
    <row r="54" spans="1:10" ht="11.25">
      <c r="A54" s="4" t="s">
        <v>47</v>
      </c>
      <c r="G54" s="25"/>
      <c r="H54" s="26"/>
      <c r="I54" s="26"/>
      <c r="J54" s="27"/>
    </row>
    <row r="55" spans="1:12" ht="11.25">
      <c r="A55" s="1" t="s">
        <v>48</v>
      </c>
      <c r="B55" s="26"/>
      <c r="C55" s="35">
        <f>C40/C28</f>
        <v>0.009979818589075425</v>
      </c>
      <c r="D55" s="35">
        <f>(D40/0.75)/D28</f>
        <v>0.011629033821106697</v>
      </c>
      <c r="E55" s="18">
        <f>(E40/0.5)/E28</f>
        <v>0.012985583801034446</v>
      </c>
      <c r="F55" s="18">
        <f>((F40)/0.25)/F28</f>
        <v>-0.028041928721174003</v>
      </c>
      <c r="G55" s="36">
        <f>G40/G28</f>
        <v>-0.005154262319052493</v>
      </c>
      <c r="H55" s="35">
        <f>(H40/0.75)/H28</f>
        <v>0.014544583612304108</v>
      </c>
      <c r="I55" s="35">
        <f>(I40/0.5)/I28</f>
        <v>0.013655908025614054</v>
      </c>
      <c r="J55" s="21">
        <f>((J40)/0.25)/J28</f>
        <v>0.012487748212146514</v>
      </c>
      <c r="K55" s="18">
        <f>K40/K28</f>
        <v>0.013453017746045593</v>
      </c>
      <c r="L55" s="18">
        <f>L40/L28</f>
        <v>0.018642054281275702</v>
      </c>
    </row>
    <row r="56" spans="1:12" ht="11.25">
      <c r="A56" s="1" t="s">
        <v>49</v>
      </c>
      <c r="B56" s="26"/>
      <c r="C56" s="35">
        <f>C40/C27</f>
        <v>0.002669910113026195</v>
      </c>
      <c r="D56" s="35">
        <f>(D40/0.75)/D27</f>
        <v>0.0036421027072963456</v>
      </c>
      <c r="E56" s="18">
        <f>(E40/0.5)/E27</f>
        <v>0.005277988996734803</v>
      </c>
      <c r="F56" s="18">
        <f>((F40)/0.25)/F27</f>
        <v>-0.012207230886046376</v>
      </c>
      <c r="G56" s="36">
        <f>G40/G27</f>
        <v>-0.001987651188361668</v>
      </c>
      <c r="H56" s="35">
        <f>(H40/0.75)/H27</f>
        <v>0.006370687209271829</v>
      </c>
      <c r="I56" s="35">
        <f>(I40/0.5)/I27</f>
        <v>0.006588201777033884</v>
      </c>
      <c r="J56" s="21">
        <f>((J40)/0.25)/J27</f>
        <v>0.00471439535138691</v>
      </c>
      <c r="K56" s="18">
        <f>K40/K27</f>
        <v>0.004592152591118182</v>
      </c>
      <c r="L56" s="18">
        <f>L40/L27</f>
        <v>0.0022399613496865154</v>
      </c>
    </row>
    <row r="57" spans="1:12" ht="11.25">
      <c r="A57" s="1" t="s">
        <v>50</v>
      </c>
      <c r="B57" s="26"/>
      <c r="C57" s="35">
        <f>+C40/C31</f>
        <v>0.028321480269368746</v>
      </c>
      <c r="D57" s="35">
        <f>(D40/0.75)/D31</f>
        <v>0.03970354685018528</v>
      </c>
      <c r="E57" s="18">
        <f>(E40/0.5)/E31</f>
        <v>0.05161102201487097</v>
      </c>
      <c r="F57" s="18">
        <f>((F40)/0.25)/F31</f>
        <v>-0.12636988889728668</v>
      </c>
      <c r="G57" s="36">
        <f>+G40/G31</f>
        <v>-0.02111568700861101</v>
      </c>
      <c r="H57" s="35">
        <f>(H40/0.75)/H31</f>
        <v>0.07151077211293991</v>
      </c>
      <c r="I57" s="35">
        <f>(I40/0.5)/I31</f>
        <v>0.06067563135454247</v>
      </c>
      <c r="J57" s="21">
        <f>((J40)/0.25)/J31</f>
        <v>0.06385150812064966</v>
      </c>
      <c r="K57" s="18">
        <f>K40/K31</f>
        <v>0.05472543892416885</v>
      </c>
      <c r="L57" s="18">
        <f>L40/L31</f>
        <v>0.08037825059101655</v>
      </c>
    </row>
    <row r="58" spans="1:12" ht="11.25">
      <c r="A58" s="1" t="s">
        <v>51</v>
      </c>
      <c r="B58" s="26"/>
      <c r="C58" s="35">
        <f>C33/C28</f>
        <v>0.15852387394380255</v>
      </c>
      <c r="D58" s="35">
        <f>(D33/0.75)/D28</f>
        <v>0.14905837128920763</v>
      </c>
      <c r="E58" s="18">
        <f>(E33/0.5)/E28</f>
        <v>0.14709658486482521</v>
      </c>
      <c r="F58" s="18">
        <f>((F33)/0.25)/F28</f>
        <v>0.1289392033542977</v>
      </c>
      <c r="G58" s="36">
        <f>G33/G28</f>
        <v>0.1572598333089633</v>
      </c>
      <c r="H58" s="35">
        <f>(H33/0.75)/H28</f>
        <v>0.1265465867585501</v>
      </c>
      <c r="I58" s="35">
        <f>(I33/0.5)/I28</f>
        <v>0.1314657956411818</v>
      </c>
      <c r="J58" s="21">
        <f>((J33)/0.25)/J28</f>
        <v>0.13591316658801322</v>
      </c>
      <c r="K58" s="18">
        <f>K33/K28</f>
        <v>0.1990403820106063</v>
      </c>
      <c r="L58" s="18">
        <f>L33/L27</f>
        <v>0.1023574495185181</v>
      </c>
    </row>
    <row r="59" spans="1:12" ht="11.25">
      <c r="A59" s="1" t="s">
        <v>52</v>
      </c>
      <c r="B59" s="26"/>
      <c r="C59" s="35">
        <f>C34/C28</f>
        <v>0.13013683440154356</v>
      </c>
      <c r="D59" s="35">
        <f>(D34/0.75)/D28</f>
        <v>0.12647220337888038</v>
      </c>
      <c r="E59" s="18">
        <f>(E34/0.5)/E28</f>
        <v>0.12992920289057627</v>
      </c>
      <c r="F59" s="18">
        <f>((F34)/0.25)/F28</f>
        <v>0.12987840670859538</v>
      </c>
      <c r="G59" s="36">
        <f>G34/G28</f>
        <v>0.11222400935809329</v>
      </c>
      <c r="H59" s="35">
        <f>(H34/0.75)/H28</f>
        <v>0.08752878161895586</v>
      </c>
      <c r="I59" s="35">
        <f>(I34/0.5)/I28</f>
        <v>0.08843123143073317</v>
      </c>
      <c r="J59" s="21">
        <f>((J34)/0.25)/J28</f>
        <v>0.08872109485606418</v>
      </c>
      <c r="K59" s="18">
        <f>K34/K28</f>
        <v>0.14839642783351317</v>
      </c>
      <c r="L59" s="18">
        <f>L34/L27</f>
        <v>0.09448098411896684</v>
      </c>
    </row>
    <row r="60" spans="1:12" ht="11.25">
      <c r="A60" s="1" t="s">
        <v>53</v>
      </c>
      <c r="B60" s="26"/>
      <c r="C60" s="35">
        <f>C35/C28</f>
        <v>0.028387039542258987</v>
      </c>
      <c r="D60" s="35">
        <f>(D35/0.75)/D28</f>
        <v>0.022586167910327228</v>
      </c>
      <c r="E60" s="18">
        <f>(E35/0.5)/E28</f>
        <v>0.017167381974248927</v>
      </c>
      <c r="F60" s="18">
        <f>((F35)/0.25)/F28</f>
        <v>-0.0009392033542976939</v>
      </c>
      <c r="G60" s="36">
        <f>G35/G28</f>
        <v>0.04503582395087001</v>
      </c>
      <c r="H60" s="35">
        <f>(H35/0.75)/H28</f>
        <v>0.039017805139594255</v>
      </c>
      <c r="I60" s="35">
        <f>(I35/0.5)/I28</f>
        <v>0.043034564210448614</v>
      </c>
      <c r="J60" s="21">
        <f>((J35)/0.25)/J28</f>
        <v>0.04719207173194903</v>
      </c>
      <c r="K60" s="18">
        <f>K35/K28</f>
        <v>0.05064395417709314</v>
      </c>
      <c r="L60" s="18">
        <f>L35/L27</f>
        <v>0.007876465399551275</v>
      </c>
    </row>
    <row r="61" spans="1:12" ht="11.25">
      <c r="A61" s="1" t="s">
        <v>54</v>
      </c>
      <c r="B61" s="26"/>
      <c r="C61" s="35">
        <f>C38/C37</f>
        <v>1.0672853828306264</v>
      </c>
      <c r="D61" s="35">
        <f>(D38/0.75)/(D37/0.75)</f>
        <v>1.0957095709570956</v>
      </c>
      <c r="E61" s="18">
        <f>(E38/0.5)/(E37/0.5)</f>
        <v>1.3150289017341041</v>
      </c>
      <c r="F61" s="18">
        <f>(F38/0.25)/(F37/0.25)</f>
        <v>5.098039215686274</v>
      </c>
      <c r="G61" s="36">
        <f>G38/G37</f>
        <v>0.6530753282653766</v>
      </c>
      <c r="H61" s="35">
        <f>(H38/0.75)/(H37/0.75)</f>
        <v>0.6846081208687441</v>
      </c>
      <c r="I61" s="35">
        <f>(I38/0.5)/(I37/0.5)</f>
        <v>0.7322720694645442</v>
      </c>
      <c r="J61" s="21">
        <f>(J38/0.25)/(J37/0.25)</f>
        <v>0.7736842105263158</v>
      </c>
      <c r="K61" s="18">
        <f>K38/K37</f>
        <v>0.7781983345950038</v>
      </c>
      <c r="L61" s="18">
        <f>L38/L37</f>
        <v>0.6744</v>
      </c>
    </row>
    <row r="62" spans="1:12" ht="11.25">
      <c r="A62" s="2" t="s">
        <v>55</v>
      </c>
      <c r="B62" s="2"/>
      <c r="C62" s="37">
        <f>C36/C28</f>
        <v>0.009846754341221087</v>
      </c>
      <c r="D62" s="37">
        <f>(D36/0.75)/D28</f>
        <v>0.008734696514520142</v>
      </c>
      <c r="E62" s="22">
        <f>(E36/0.5)/E28</f>
        <v>0.008216866585965299</v>
      </c>
      <c r="F62" s="22">
        <f>(F36/0.25)/F28</f>
        <v>0.0077819706498951785</v>
      </c>
      <c r="G62" s="38">
        <f>G36/G28</f>
        <v>0.007859336160257347</v>
      </c>
      <c r="H62" s="37">
        <f>(H36/0.75)/H28</f>
        <v>0.00709810517606458</v>
      </c>
      <c r="I62" s="37">
        <f>(I36/0.5)/I28</f>
        <v>0.007972097658196313</v>
      </c>
      <c r="J62" s="24">
        <f>(J36/0.25)/J28</f>
        <v>0.007986350600791375</v>
      </c>
      <c r="K62" s="22">
        <f>K36/K28</f>
        <v>0.010009412520948599</v>
      </c>
      <c r="L62" s="22">
        <f>L36/L27</f>
        <v>0.001273703512566842</v>
      </c>
    </row>
    <row r="63" spans="1:10" ht="11.25">
      <c r="A63" s="4" t="s">
        <v>56</v>
      </c>
      <c r="G63" s="25"/>
      <c r="H63" s="26"/>
      <c r="I63" s="26"/>
      <c r="J63" s="27"/>
    </row>
    <row r="64" spans="1:12" ht="11.25">
      <c r="A64" s="1" t="s">
        <v>57</v>
      </c>
      <c r="C64" s="1">
        <v>11</v>
      </c>
      <c r="D64" s="9">
        <v>16</v>
      </c>
      <c r="E64" s="9">
        <v>16</v>
      </c>
      <c r="F64" s="9">
        <v>16</v>
      </c>
      <c r="G64" s="10">
        <v>17</v>
      </c>
      <c r="H64" s="11">
        <v>17</v>
      </c>
      <c r="I64" s="11">
        <v>17</v>
      </c>
      <c r="J64" s="12">
        <v>19</v>
      </c>
      <c r="K64" s="9">
        <v>18</v>
      </c>
      <c r="L64" s="9">
        <v>18</v>
      </c>
    </row>
    <row r="65" spans="1:12" ht="11.25">
      <c r="A65" s="1" t="s">
        <v>58</v>
      </c>
      <c r="C65" s="1">
        <v>1</v>
      </c>
      <c r="D65" s="9">
        <v>1</v>
      </c>
      <c r="E65" s="9">
        <v>1</v>
      </c>
      <c r="F65" s="9">
        <v>1</v>
      </c>
      <c r="G65" s="10">
        <v>1</v>
      </c>
      <c r="H65" s="11">
        <v>1</v>
      </c>
      <c r="I65" s="11">
        <v>1</v>
      </c>
      <c r="J65" s="12">
        <v>1</v>
      </c>
      <c r="K65" s="9">
        <v>1</v>
      </c>
      <c r="L65" s="9">
        <v>1</v>
      </c>
    </row>
    <row r="66" spans="1:12" ht="11.25">
      <c r="A66" s="1" t="s">
        <v>59</v>
      </c>
      <c r="C66" s="9">
        <f aca="true" t="shared" si="16" ref="C66:L66">C13/C64</f>
        <v>933.8181818181819</v>
      </c>
      <c r="D66" s="9">
        <f t="shared" si="16"/>
        <v>680.25</v>
      </c>
      <c r="E66" s="9">
        <f t="shared" si="16"/>
        <v>628.375</v>
      </c>
      <c r="F66" s="9">
        <f t="shared" si="16"/>
        <v>788.5625</v>
      </c>
      <c r="G66" s="10">
        <f t="shared" si="16"/>
        <v>837.4705882352941</v>
      </c>
      <c r="H66" s="11">
        <f t="shared" si="16"/>
        <v>886.2352941176471</v>
      </c>
      <c r="I66" s="11">
        <f t="shared" si="16"/>
        <v>826.2941176470588</v>
      </c>
      <c r="J66" s="12">
        <f t="shared" si="16"/>
        <v>762.4736842105264</v>
      </c>
      <c r="K66" s="9">
        <f t="shared" si="16"/>
        <v>800.2777777777778</v>
      </c>
      <c r="L66" s="9">
        <f t="shared" si="16"/>
        <v>521.5</v>
      </c>
    </row>
    <row r="67" spans="1:12" ht="11.25">
      <c r="A67" s="1" t="s">
        <v>60</v>
      </c>
      <c r="C67" s="9">
        <f aca="true" t="shared" si="17" ref="C67:L67">C17/C64</f>
        <v>6929.181818181818</v>
      </c>
      <c r="D67" s="9">
        <f t="shared" si="17"/>
        <v>4729.6875</v>
      </c>
      <c r="E67" s="9">
        <f t="shared" si="17"/>
        <v>4828.375</v>
      </c>
      <c r="F67" s="9">
        <f t="shared" si="17"/>
        <v>4809.5625</v>
      </c>
      <c r="G67" s="10">
        <f t="shared" si="17"/>
        <v>4333.529411764706</v>
      </c>
      <c r="H67" s="11">
        <f t="shared" si="17"/>
        <v>4245.764705882353</v>
      </c>
      <c r="I67" s="11">
        <f t="shared" si="17"/>
        <v>2433.9411764705883</v>
      </c>
      <c r="J67" s="12">
        <f t="shared" si="17"/>
        <v>2322.2631578947367</v>
      </c>
      <c r="K67" s="9">
        <f t="shared" si="17"/>
        <v>2891.0555555555557</v>
      </c>
      <c r="L67" s="9">
        <f t="shared" si="17"/>
        <v>3535.6666666666665</v>
      </c>
    </row>
    <row r="68" spans="1:12" ht="11.25">
      <c r="A68" s="2" t="s">
        <v>61</v>
      </c>
      <c r="B68" s="2"/>
      <c r="C68" s="13">
        <f aca="true" t="shared" si="18" ref="C68:L68">(C40/C64)</f>
        <v>20.454545454545453</v>
      </c>
      <c r="D68" s="13">
        <f t="shared" si="18"/>
        <v>14.0625</v>
      </c>
      <c r="E68" s="13">
        <f t="shared" si="18"/>
        <v>11.0625</v>
      </c>
      <c r="F68" s="13">
        <f t="shared" si="18"/>
        <v>-13.0625</v>
      </c>
      <c r="G68" s="14">
        <f t="shared" si="18"/>
        <v>-8.294117647058824</v>
      </c>
      <c r="H68" s="13">
        <f t="shared" si="18"/>
        <v>19.647058823529413</v>
      </c>
      <c r="I68" s="13">
        <f t="shared" si="18"/>
        <v>10.882352941176471</v>
      </c>
      <c r="J68" s="15">
        <f t="shared" si="18"/>
        <v>4.526315789473684</v>
      </c>
      <c r="K68" s="13">
        <f t="shared" si="18"/>
        <v>16.27777777777778</v>
      </c>
      <c r="L68" s="13">
        <f t="shared" si="18"/>
        <v>17</v>
      </c>
    </row>
    <row r="69" spans="1:10" ht="11.25">
      <c r="A69" s="4" t="s">
        <v>62</v>
      </c>
      <c r="G69" s="25"/>
      <c r="H69" s="26"/>
      <c r="I69" s="26"/>
      <c r="J69" s="27"/>
    </row>
    <row r="70" spans="1:12" ht="11.25">
      <c r="A70" s="1" t="s">
        <v>63</v>
      </c>
      <c r="C70" s="18">
        <f>(C11/G11)-1</f>
        <v>0.031274480265140125</v>
      </c>
      <c r="D70" s="18">
        <f>(D11/H11)-1</f>
        <v>0.06962399025113375</v>
      </c>
      <c r="E70" s="18">
        <f>(E11/I11)-1</f>
        <v>0.7719298245614035</v>
      </c>
      <c r="F70" s="18">
        <f>(F11/J11)-1</f>
        <v>0.6845416593167519</v>
      </c>
      <c r="G70" s="19">
        <f>(G11/K11)-1</f>
        <v>0.4087197161338516</v>
      </c>
      <c r="H70" s="20">
        <f>(H11/60207)-1</f>
        <v>0.3220887936618666</v>
      </c>
      <c r="I70" s="20">
        <f>(I11/63929)-1</f>
        <v>-0.24301959986860422</v>
      </c>
      <c r="J70" s="21">
        <f>(J11/94915)-1</f>
        <v>-0.46245588157825424</v>
      </c>
      <c r="K70" s="18">
        <f>(K11/L11)-1</f>
        <v>-0.14273447051289512</v>
      </c>
      <c r="L70" s="18">
        <f>(L11/204511)-1</f>
        <v>-0.6640376312276601</v>
      </c>
    </row>
    <row r="71" spans="1:12" ht="11.25">
      <c r="A71" s="1" t="s">
        <v>64</v>
      </c>
      <c r="C71" s="18">
        <f aca="true" t="shared" si="19" ref="C71:G73">(C13/G13)-1</f>
        <v>-0.2784996839221746</v>
      </c>
      <c r="D71" s="18">
        <f t="shared" si="19"/>
        <v>-0.27757865392273995</v>
      </c>
      <c r="E71" s="18">
        <f t="shared" si="19"/>
        <v>-0.2842599843382929</v>
      </c>
      <c r="F71" s="18">
        <f t="shared" si="19"/>
        <v>-0.12908124525436593</v>
      </c>
      <c r="G71" s="19">
        <f t="shared" si="19"/>
        <v>-0.01166261714682404</v>
      </c>
      <c r="H71" s="20">
        <f>H13/13710-1</f>
        <v>0.09890590809628019</v>
      </c>
      <c r="I71" s="20">
        <f>I13/9449-1</f>
        <v>0.4866123399301514</v>
      </c>
      <c r="J71" s="21">
        <f>J13/9770-1</f>
        <v>0.48280450358239513</v>
      </c>
      <c r="K71" s="18">
        <f>(K13/L13)-1</f>
        <v>0.5345690849046554</v>
      </c>
      <c r="L71" s="18">
        <f>L13/10940-1</f>
        <v>-0.14195612431444238</v>
      </c>
    </row>
    <row r="72" spans="2:12" ht="11.25">
      <c r="B72" s="1" t="s">
        <v>15</v>
      </c>
      <c r="C72" s="18">
        <f t="shared" si="19"/>
        <v>0.12603180994564123</v>
      </c>
      <c r="D72" s="18">
        <f t="shared" si="19"/>
        <v>0.033539276257722905</v>
      </c>
      <c r="E72" s="18">
        <f t="shared" si="19"/>
        <v>0.042804105699934425</v>
      </c>
      <c r="F72" s="18">
        <f t="shared" si="19"/>
        <v>-0.2974348932837282</v>
      </c>
      <c r="G72" s="19">
        <f t="shared" si="19"/>
        <v>-0.06353695324283559</v>
      </c>
      <c r="H72" s="20">
        <f>(H14/4842)-1</f>
        <v>0.16997108632796376</v>
      </c>
      <c r="I72" s="20">
        <f>(I14/4115)-1</f>
        <v>0.11275820170109352</v>
      </c>
      <c r="J72" s="21">
        <f>(J14/4292)-1</f>
        <v>0.18988816402609499</v>
      </c>
      <c r="K72" s="18">
        <f>(K14/L14)-1</f>
        <v>0.4327390599675851</v>
      </c>
      <c r="L72" s="18">
        <f>(L14/3174)-1</f>
        <v>0.16635160680529304</v>
      </c>
    </row>
    <row r="73" spans="2:12" ht="11.25">
      <c r="B73" s="1" t="s">
        <v>16</v>
      </c>
      <c r="C73" s="18">
        <f t="shared" si="19"/>
        <v>-0.49525350593311757</v>
      </c>
      <c r="D73" s="18">
        <f t="shared" si="19"/>
        <v>-0.46505690883948514</v>
      </c>
      <c r="E73" s="18">
        <f t="shared" si="19"/>
        <v>-0.44243768483312207</v>
      </c>
      <c r="F73" s="18">
        <f t="shared" si="19"/>
        <v>-0.03742004264392329</v>
      </c>
      <c r="G73" s="19">
        <f t="shared" si="19"/>
        <v>0.018569387979342933</v>
      </c>
      <c r="H73" s="20">
        <f>(H15/8868)-1</f>
        <v>0.06010374379792505</v>
      </c>
      <c r="I73" s="20">
        <f>(I15/5334)-1</f>
        <v>0.7750281214848145</v>
      </c>
      <c r="J73" s="21">
        <f>(J15/5477)-1</f>
        <v>0.7126163958371372</v>
      </c>
      <c r="K73" s="18">
        <f>(K15/L15)-1</f>
        <v>0.6008795074758135</v>
      </c>
      <c r="L73" s="18">
        <f>(L15/7766)-1</f>
        <v>-0.26796291527169713</v>
      </c>
    </row>
    <row r="74" spans="1:12" ht="11.25">
      <c r="A74" s="1" t="s">
        <v>65</v>
      </c>
      <c r="C74" s="18">
        <f aca="true" t="shared" si="20" ref="C74:G75">(C17/G17)-1</f>
        <v>0.034627392425682135</v>
      </c>
      <c r="D74" s="18">
        <f t="shared" si="20"/>
        <v>0.04844966610324475</v>
      </c>
      <c r="E74" s="18">
        <f t="shared" si="20"/>
        <v>0.8670759117384055</v>
      </c>
      <c r="F74" s="18">
        <f t="shared" si="20"/>
        <v>0.744056387824944</v>
      </c>
      <c r="G74" s="19">
        <f t="shared" si="20"/>
        <v>0.4156690174676685</v>
      </c>
      <c r="H74" s="20">
        <f>H17/53472-1</f>
        <v>0.3498279473369239</v>
      </c>
      <c r="I74" s="20">
        <f>I17/57396-1</f>
        <v>-0.27909610425813647</v>
      </c>
      <c r="J74" s="21">
        <f>J17/89060-1</f>
        <v>-0.5045699528407814</v>
      </c>
      <c r="K74" s="18">
        <f>(K17/L17)-1</f>
        <v>-0.18231670909148046</v>
      </c>
      <c r="L74" s="18">
        <f>L17/199772-1</f>
        <v>-0.6814268265823038</v>
      </c>
    </row>
    <row r="75" spans="2:12" ht="11.25">
      <c r="B75" s="1" t="s">
        <v>15</v>
      </c>
      <c r="C75" s="18">
        <f t="shared" si="20"/>
        <v>0.0009041591320071429</v>
      </c>
      <c r="D75" s="18">
        <f t="shared" si="20"/>
        <v>-0.09799893983567454</v>
      </c>
      <c r="E75" s="18">
        <f t="shared" si="20"/>
        <v>-0.19438499307566415</v>
      </c>
      <c r="F75" s="18">
        <f t="shared" si="20"/>
        <v>-0.2756439742410304</v>
      </c>
      <c r="G75" s="19">
        <f t="shared" si="20"/>
        <v>-0.09412802419354838</v>
      </c>
      <c r="H75" s="20">
        <f>(H18/15208)-1</f>
        <v>-0.0076275644397685305</v>
      </c>
      <c r="I75" s="20">
        <f>(I18/13947)-1</f>
        <v>0.13902631390263132</v>
      </c>
      <c r="J75" s="21">
        <f>(J18/12972)-1</f>
        <v>0.34073388837496155</v>
      </c>
      <c r="K75" s="18">
        <f>(K18/L18)-1</f>
        <v>0.2934561160459621</v>
      </c>
      <c r="L75" s="18">
        <f>(L18/13169)-1</f>
        <v>-0.06819044726251045</v>
      </c>
    </row>
    <row r="76" spans="2:12" ht="11.25">
      <c r="B76" s="1" t="s">
        <v>16</v>
      </c>
      <c r="C76" s="18">
        <f>(C22/G22)-1</f>
        <v>0.04280510018214945</v>
      </c>
      <c r="D76" s="18">
        <f>(D22/H22)-1</f>
        <v>0.0871667308972428</v>
      </c>
      <c r="E76" s="18">
        <f>(E22/I22)-1</f>
        <v>1.5285787140559415</v>
      </c>
      <c r="F76" s="18">
        <f>(F22/J22)-1</f>
        <v>1.4075043956455051</v>
      </c>
      <c r="G76" s="19">
        <f>(G22/K22)-1</f>
        <v>0.6393950286172478</v>
      </c>
      <c r="H76" s="20">
        <f>(H22/38264)-1</f>
        <v>0.49189839013171643</v>
      </c>
      <c r="I76" s="20">
        <f>(I22/43449)-1</f>
        <v>-0.41331215908306285</v>
      </c>
      <c r="J76" s="21">
        <f>(J22/76088)-1</f>
        <v>-0.6486831037745768</v>
      </c>
      <c r="K76" s="18">
        <f>(K22/L22)-1</f>
        <v>-0.29596464931576183</v>
      </c>
      <c r="L76" s="18">
        <f>(L22/186603)-1</f>
        <v>-0.724704318794446</v>
      </c>
    </row>
    <row r="77" spans="1:12" ht="11.25">
      <c r="A77" s="1" t="s">
        <v>66</v>
      </c>
      <c r="C77" s="18">
        <f>(C25/G25)-1</f>
        <v>0.19704092920353977</v>
      </c>
      <c r="D77" s="18">
        <f>(D25/H25)-1</f>
        <v>0.3407682775712515</v>
      </c>
      <c r="E77" s="18">
        <f>(E25/I25)-1</f>
        <v>0.17435409732128715</v>
      </c>
      <c r="F77" s="18">
        <f>(F25/J25)-1</f>
        <v>0.13128221649484528</v>
      </c>
      <c r="G77" s="19">
        <f>(G25/K25)-1</f>
        <v>0.1811203658337417</v>
      </c>
      <c r="H77" s="20">
        <f>(H25/5999)-1</f>
        <v>0.07617936322720453</v>
      </c>
      <c r="I77" s="20">
        <f>(I25/5887)-1</f>
        <v>0.0716833701375914</v>
      </c>
      <c r="J77" s="21">
        <f>(J25/4567)-1</f>
        <v>0.35931683818699356</v>
      </c>
      <c r="K77" s="18">
        <f>(K25/L25)-1</f>
        <v>0.3354416575790622</v>
      </c>
      <c r="L77" s="18">
        <f>(L25/3029)-1</f>
        <v>0.5137008913832948</v>
      </c>
    </row>
    <row r="78" spans="1:12" ht="11.25">
      <c r="A78" s="2" t="s">
        <v>67</v>
      </c>
      <c r="B78" s="2"/>
      <c r="C78" s="22">
        <f>(C40/G40)-1</f>
        <v>-2.595744680851064</v>
      </c>
      <c r="D78" s="22">
        <f>(D40/H40)-1</f>
        <v>-0.3263473053892215</v>
      </c>
      <c r="E78" s="22">
        <f>(E40/I40)-1</f>
        <v>-0.043243243243243246</v>
      </c>
      <c r="F78" s="22">
        <f>(F40/J40)-1</f>
        <v>-3.4302325581395348</v>
      </c>
      <c r="G78" s="23">
        <f>(G40/K40)-1</f>
        <v>-1.4812286689419796</v>
      </c>
      <c r="H78" s="22">
        <f>(H40/168)-1</f>
        <v>0.9880952380952381</v>
      </c>
      <c r="I78" s="22">
        <f>(I40/54)-1</f>
        <v>2.425925925925926</v>
      </c>
      <c r="J78" s="24">
        <f>(J40/-18)-1</f>
        <v>-5.777777777777778</v>
      </c>
      <c r="K78" s="22">
        <f>(K40/L40)-1</f>
        <v>-0.042483660130718914</v>
      </c>
      <c r="L78" s="22">
        <f>(L40/135)-1</f>
        <v>1.2666666666666666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6247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2002-03-22T20:03:00Z</cp:lastPrinted>
  <dcterms:created xsi:type="dcterms:W3CDTF">2002-03-19T20:53:25Z</dcterms:created>
  <dcterms:modified xsi:type="dcterms:W3CDTF">2002-03-20T23:14:49Z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