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Bilbao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<sst xmlns="http://schemas.openxmlformats.org/spreadsheetml/2006/main" count="86" uniqueCount="70">
  <si>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CUADRO No. 18-45</t>
  </si>
  <si>
    <t>BANCO BILBAO VIZCAYA ARGENTARIA (1)</t>
  </si>
  <si>
    <t>ESTADISTICA FINANCIERA.  1999, TRIMESTRES DE 2000 Y 2001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</si>
  <si>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</si>
  <si>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</si>
  <si>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</si>
  <si>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</si>
  <si>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</si>
  <si>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</si>
  <si>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</si>
  <si>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</si>
  <si>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</si>
  <si>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</si>
  <si>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</si>
  <si>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</si>
  <si>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</si>
  <si>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</si>
  <si>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</si>
  <si>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</si>
  <si>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</si>
  <si>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</si>
  <si>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</si>
  <si>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</si>
  <si>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</si>
  <si>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</si>
  <si>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</si>
  <si>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</si>
  <si>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</si>
  <si>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</si>
  <si>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</si>
  <si>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</si>
  <si>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</si>
  <si>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</si>
  <si>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</si>
  <si>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</si>
  <si>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</si>
  <si>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</si>
  <si>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</si>
  <si>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</si>
  <si>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</si>
  <si>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</si>
  <si>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</si>
  <si>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</si>
  <si>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</si>
  <si>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</si>
  <si>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</si>
  <si>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</si>
  <si>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</si>
  <si>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</si>
  <si>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</si>
  <si>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</si>
  <si>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</si>
  <si>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</si>
  <si>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</si>
  <si>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</si>
  <si>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</si>
  <si>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</si>
  <si>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</si>
  <si>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</si>
  <si>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</si>
  <si>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</si>
  <si>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</si>
  <si>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</si>
  <si>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</si>
  <si>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</si>
  <si>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</si>
  <si>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</si>
  <si>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</si>
  <si>
    <t>Nota:</t>
  </si>
  <si>
    <t>(1) Adquirió: Banco Real, Exterior y Ganadero.</t>
  </si>
</sst>
</file>

<file path=xl/styles.xml><?xml version="1.0" encoding="utf-8"?>
<styleSheet xmlns="http://schemas.openxmlformats.org/spreadsheetml/2006/main">
  <numFmts count="31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179" fontId="2" fillId="0" borderId="0" xfId="0" applyNumberFormat="1" applyFont="1" applyAlignment="1">
      <alignment/>
    </xf>
    <xf numFmtId="179" fontId="2" fillId="0" borderId="1" xfId="0" applyNumberFormat="1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81" fontId="2" fillId="0" borderId="0" xfId="19" applyNumberFormat="1" applyFont="1" applyAlignment="1">
      <alignment/>
    </xf>
    <xf numFmtId="181" fontId="2" fillId="0" borderId="3" xfId="19" applyNumberFormat="1" applyFont="1" applyBorder="1" applyAlignment="1">
      <alignment/>
    </xf>
    <xf numFmtId="181" fontId="2" fillId="0" borderId="0" xfId="19" applyNumberFormat="1" applyFont="1" applyBorder="1" applyAlignment="1">
      <alignment/>
    </xf>
    <xf numFmtId="181" fontId="2" fillId="0" borderId="4" xfId="19" applyNumberFormat="1" applyFont="1" applyBorder="1" applyAlignment="1">
      <alignment/>
    </xf>
    <xf numFmtId="181" fontId="2" fillId="0" borderId="1" xfId="19" applyNumberFormat="1" applyFont="1" applyBorder="1" applyAlignment="1">
      <alignment/>
    </xf>
    <xf numFmtId="181" fontId="2" fillId="0" borderId="5" xfId="19" applyNumberFormat="1" applyFont="1" applyBorder="1" applyAlignment="1">
      <alignment/>
    </xf>
    <xf numFmtId="181" fontId="2" fillId="0" borderId="6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3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5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1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4" sqref="B14"/>
    </sheetView>
  </sheetViews>
  <sheetFormatPr defaultColWidth="11.421875" defaultRowHeight="12.75"/>
  <cols>
    <col min="1" max="1" width="3.421875" style="1" customWidth="1"/>
    <col min="2" max="2" width="39.8515625" style="1" customWidth="1"/>
    <col min="3" max="3" width="8.57421875" style="1" customWidth="1"/>
    <col min="4" max="4" width="10.00390625" style="1" customWidth="1"/>
    <col min="5" max="5" width="9.00390625" style="1" bestFit="1" customWidth="1"/>
    <col min="6" max="6" width="8.00390625" style="1" bestFit="1" customWidth="1"/>
    <col min="7" max="7" width="8.57421875" style="1" customWidth="1"/>
    <col min="8" max="8" width="9.57421875" style="1" customWidth="1"/>
    <col min="9" max="9" width="8.00390625" style="1" bestFit="1" customWidth="1"/>
    <col min="10" max="11" width="7.710937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11.25">
      <c r="B2" s="40"/>
      <c r="C2" s="40"/>
      <c r="D2" s="40"/>
      <c r="E2" s="40" t="s">
        <v>0</v>
      </c>
      <c r="F2" s="40"/>
      <c r="H2" s="40"/>
      <c r="I2" s="40"/>
      <c r="J2" s="40"/>
      <c r="K2" s="40"/>
      <c r="L2" s="40"/>
    </row>
    <row r="3" spans="2:12" ht="11.25">
      <c r="B3" s="40"/>
      <c r="C3" s="40"/>
      <c r="D3" s="40"/>
      <c r="E3" s="40" t="s">
        <v>1</v>
      </c>
      <c r="F3" s="40"/>
      <c r="H3" s="40"/>
      <c r="I3" s="40"/>
      <c r="J3" s="40"/>
      <c r="K3" s="40"/>
      <c r="L3" s="40"/>
    </row>
    <row r="4" spans="2:12" ht="11.25">
      <c r="B4" s="40"/>
      <c r="C4" s="40"/>
      <c r="D4" s="40"/>
      <c r="E4" s="40" t="s">
        <v>2</v>
      </c>
      <c r="F4" s="40"/>
      <c r="H4" s="40"/>
      <c r="I4" s="40"/>
      <c r="J4" s="40"/>
      <c r="K4" s="40"/>
      <c r="L4" s="40"/>
    </row>
    <row r="5" spans="2:12" ht="11.25">
      <c r="B5" s="39"/>
      <c r="C5" s="39"/>
      <c r="D5" s="39"/>
      <c r="E5" s="39" t="s">
        <v>3</v>
      </c>
      <c r="F5" s="39"/>
      <c r="H5" s="39"/>
      <c r="I5" s="39"/>
      <c r="J5" s="39"/>
      <c r="K5" s="39"/>
      <c r="L5" s="39"/>
    </row>
    <row r="6" spans="1:12" ht="11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46">
        <v>2001</v>
      </c>
      <c r="D8" s="46"/>
      <c r="E8" s="46"/>
      <c r="F8" s="47"/>
      <c r="G8" s="45">
        <v>2000</v>
      </c>
      <c r="H8" s="46"/>
      <c r="I8" s="46"/>
      <c r="J8" s="47"/>
      <c r="K8" s="46" t="s">
        <v>4</v>
      </c>
      <c r="L8" s="46"/>
    </row>
    <row r="9" spans="1:12" s="4" customFormat="1" ht="11.25">
      <c r="A9" s="41"/>
      <c r="B9" s="41"/>
      <c r="C9" s="42" t="s">
        <v>5</v>
      </c>
      <c r="D9" s="41" t="s">
        <v>6</v>
      </c>
      <c r="E9" s="41" t="s">
        <v>7</v>
      </c>
      <c r="F9" s="41" t="s">
        <v>8</v>
      </c>
      <c r="G9" s="42" t="s">
        <v>5</v>
      </c>
      <c r="H9" s="41" t="s">
        <v>6</v>
      </c>
      <c r="I9" s="41" t="s">
        <v>7</v>
      </c>
      <c r="J9" s="43" t="s">
        <v>8</v>
      </c>
      <c r="K9" s="44" t="s">
        <v>9</v>
      </c>
      <c r="L9" s="44" t="s">
        <v>10</v>
      </c>
    </row>
    <row r="10" spans="1:12" ht="11.25">
      <c r="A10" s="4" t="s">
        <v>11</v>
      </c>
      <c r="B10" s="4"/>
      <c r="C10" s="4"/>
      <c r="D10" s="4"/>
      <c r="E10" s="4"/>
      <c r="F10" s="5"/>
      <c r="G10" s="6"/>
      <c r="H10" s="7"/>
      <c r="I10" s="7"/>
      <c r="J10" s="8"/>
      <c r="K10" s="5"/>
      <c r="L10" s="5"/>
    </row>
    <row r="11" spans="1:12" ht="11.25">
      <c r="A11" s="1" t="s">
        <v>12</v>
      </c>
      <c r="C11" s="9">
        <v>883022</v>
      </c>
      <c r="D11" s="9">
        <v>939679</v>
      </c>
      <c r="E11" s="9">
        <v>1012089</v>
      </c>
      <c r="F11" s="9">
        <v>881976</v>
      </c>
      <c r="G11" s="10">
        <v>875543</v>
      </c>
      <c r="H11" s="11">
        <v>876629</v>
      </c>
      <c r="I11" s="11">
        <v>927023</v>
      </c>
      <c r="J11" s="12">
        <v>503580</v>
      </c>
      <c r="K11" s="9">
        <v>565260</v>
      </c>
      <c r="L11" s="9">
        <v>299726</v>
      </c>
    </row>
    <row r="12" spans="1:12" ht="11.25">
      <c r="A12" s="1" t="s">
        <v>13</v>
      </c>
      <c r="C12" s="9">
        <v>40058</v>
      </c>
      <c r="D12" s="9">
        <v>54666</v>
      </c>
      <c r="E12" s="9">
        <v>80004</v>
      </c>
      <c r="F12" s="9">
        <v>56437</v>
      </c>
      <c r="G12" s="10">
        <v>65167</v>
      </c>
      <c r="H12" s="11">
        <v>54387</v>
      </c>
      <c r="I12" s="11">
        <v>83345</v>
      </c>
      <c r="J12" s="12">
        <v>10484</v>
      </c>
      <c r="K12" s="9">
        <v>10958</v>
      </c>
      <c r="L12" s="9">
        <v>8860</v>
      </c>
    </row>
    <row r="13" spans="1:12" ht="11.25">
      <c r="A13" s="1" t="s">
        <v>14</v>
      </c>
      <c r="C13" s="9">
        <f aca="true" t="shared" si="0" ref="C13:L13">C14+C15</f>
        <v>751847</v>
      </c>
      <c r="D13" s="9">
        <f t="shared" si="0"/>
        <v>795258</v>
      </c>
      <c r="E13" s="9">
        <f t="shared" si="0"/>
        <v>847407</v>
      </c>
      <c r="F13" s="9">
        <f t="shared" si="0"/>
        <v>729386</v>
      </c>
      <c r="G13" s="10">
        <f t="shared" si="0"/>
        <v>724875</v>
      </c>
      <c r="H13" s="11">
        <f t="shared" si="0"/>
        <v>745358</v>
      </c>
      <c r="I13" s="11">
        <f t="shared" si="0"/>
        <v>770622</v>
      </c>
      <c r="J13" s="12">
        <f t="shared" si="0"/>
        <v>444449</v>
      </c>
      <c r="K13" s="9">
        <f t="shared" si="0"/>
        <v>506811</v>
      </c>
      <c r="L13" s="9">
        <f t="shared" si="0"/>
        <v>264975</v>
      </c>
    </row>
    <row r="14" spans="2:12" ht="11.25">
      <c r="B14" s="1" t="s">
        <v>15</v>
      </c>
      <c r="C14" s="9">
        <v>527290</v>
      </c>
      <c r="D14" s="9">
        <v>563879</v>
      </c>
      <c r="E14" s="9">
        <v>611704</v>
      </c>
      <c r="F14" s="9">
        <v>464683</v>
      </c>
      <c r="G14" s="10">
        <v>441435</v>
      </c>
      <c r="H14" s="11">
        <v>430738</v>
      </c>
      <c r="I14" s="11">
        <v>449901</v>
      </c>
      <c r="J14" s="12">
        <v>141084</v>
      </c>
      <c r="K14" s="9">
        <v>163214</v>
      </c>
      <c r="L14" s="9">
        <v>103660</v>
      </c>
    </row>
    <row r="15" spans="2:12" ht="11.25">
      <c r="B15" s="1" t="s">
        <v>16</v>
      </c>
      <c r="C15" s="9">
        <v>224557</v>
      </c>
      <c r="D15" s="9">
        <v>231379</v>
      </c>
      <c r="E15" s="9">
        <v>235703</v>
      </c>
      <c r="F15" s="9">
        <v>264703</v>
      </c>
      <c r="G15" s="10">
        <v>283440</v>
      </c>
      <c r="H15" s="11">
        <v>314620</v>
      </c>
      <c r="I15" s="11">
        <v>320721</v>
      </c>
      <c r="J15" s="12">
        <v>303365</v>
      </c>
      <c r="K15" s="9">
        <v>343597</v>
      </c>
      <c r="L15" s="9">
        <v>161315</v>
      </c>
    </row>
    <row r="16" spans="1:12" ht="11.25">
      <c r="A16" s="1" t="s">
        <v>17</v>
      </c>
      <c r="C16" s="9">
        <v>61259</v>
      </c>
      <c r="D16" s="9">
        <v>55764</v>
      </c>
      <c r="E16" s="9">
        <v>51760</v>
      </c>
      <c r="F16" s="9">
        <v>44838</v>
      </c>
      <c r="G16" s="10">
        <v>35545</v>
      </c>
      <c r="H16" s="11">
        <v>29939</v>
      </c>
      <c r="I16" s="11">
        <v>29988</v>
      </c>
      <c r="J16" s="12">
        <v>25555</v>
      </c>
      <c r="K16" s="9">
        <v>25764</v>
      </c>
      <c r="L16" s="9">
        <v>15618</v>
      </c>
    </row>
    <row r="17" spans="1:12" ht="11.25">
      <c r="A17" s="1" t="s">
        <v>18</v>
      </c>
      <c r="C17" s="9">
        <f aca="true" t="shared" si="1" ref="C17:L17">C18+C22</f>
        <v>730516</v>
      </c>
      <c r="D17" s="9">
        <f t="shared" si="1"/>
        <v>793740</v>
      </c>
      <c r="E17" s="9">
        <f t="shared" si="1"/>
        <v>809513</v>
      </c>
      <c r="F17" s="9">
        <f t="shared" si="1"/>
        <v>718883</v>
      </c>
      <c r="G17" s="10">
        <f t="shared" si="1"/>
        <v>713834</v>
      </c>
      <c r="H17" s="11">
        <f t="shared" si="1"/>
        <v>725640</v>
      </c>
      <c r="I17" s="11">
        <f t="shared" si="1"/>
        <v>779460</v>
      </c>
      <c r="J17" s="12">
        <f t="shared" si="1"/>
        <v>437080</v>
      </c>
      <c r="K17" s="9">
        <f t="shared" si="1"/>
        <v>495972</v>
      </c>
      <c r="L17" s="9">
        <f t="shared" si="1"/>
        <v>232659</v>
      </c>
    </row>
    <row r="18" spans="2:12" ht="11.25">
      <c r="B18" s="1" t="s">
        <v>15</v>
      </c>
      <c r="C18" s="9">
        <f aca="true" t="shared" si="2" ref="C18:L18">SUM(C19:C21)</f>
        <v>323146</v>
      </c>
      <c r="D18" s="9">
        <f t="shared" si="2"/>
        <v>313556</v>
      </c>
      <c r="E18" s="9">
        <f t="shared" si="2"/>
        <v>422665</v>
      </c>
      <c r="F18" s="9">
        <f t="shared" si="2"/>
        <v>329415</v>
      </c>
      <c r="G18" s="10">
        <f t="shared" si="2"/>
        <v>320988</v>
      </c>
      <c r="H18" s="11">
        <f t="shared" si="2"/>
        <v>285488</v>
      </c>
      <c r="I18" s="11">
        <f t="shared" si="2"/>
        <v>299652</v>
      </c>
      <c r="J18" s="12">
        <f t="shared" si="2"/>
        <v>19964</v>
      </c>
      <c r="K18" s="9">
        <f t="shared" si="2"/>
        <v>27963</v>
      </c>
      <c r="L18" s="9">
        <f t="shared" si="2"/>
        <v>18352</v>
      </c>
    </row>
    <row r="19" spans="2:12" ht="11.25">
      <c r="B19" s="1" t="s">
        <v>19</v>
      </c>
      <c r="C19" s="9">
        <v>0</v>
      </c>
      <c r="D19" s="9">
        <v>0</v>
      </c>
      <c r="E19" s="9">
        <v>0</v>
      </c>
      <c r="F19" s="9">
        <v>0</v>
      </c>
      <c r="G19" s="10">
        <v>0</v>
      </c>
      <c r="H19" s="11">
        <v>0</v>
      </c>
      <c r="I19" s="11">
        <v>0</v>
      </c>
      <c r="J19" s="12">
        <v>0</v>
      </c>
      <c r="K19" s="9">
        <v>0</v>
      </c>
      <c r="L19" s="9">
        <v>0</v>
      </c>
    </row>
    <row r="20" spans="2:12" ht="11.25">
      <c r="B20" s="1" t="s">
        <v>20</v>
      </c>
      <c r="C20" s="9">
        <f>60726+244070</f>
        <v>304796</v>
      </c>
      <c r="D20" s="9">
        <v>280358</v>
      </c>
      <c r="E20" s="9">
        <v>399470</v>
      </c>
      <c r="F20" s="9">
        <v>314222</v>
      </c>
      <c r="G20" s="10">
        <v>305250</v>
      </c>
      <c r="H20" s="11">
        <v>285300</v>
      </c>
      <c r="I20" s="11">
        <v>299467</v>
      </c>
      <c r="J20" s="12">
        <v>19954</v>
      </c>
      <c r="K20" s="9">
        <v>27954</v>
      </c>
      <c r="L20" s="9">
        <v>18317</v>
      </c>
    </row>
    <row r="21" spans="2:12" ht="11.25">
      <c r="B21" s="1" t="s">
        <v>21</v>
      </c>
      <c r="C21" s="9">
        <v>18350</v>
      </c>
      <c r="D21" s="9">
        <v>33198</v>
      </c>
      <c r="E21" s="9">
        <v>23195</v>
      </c>
      <c r="F21" s="9">
        <v>15193</v>
      </c>
      <c r="G21" s="10">
        <v>15738</v>
      </c>
      <c r="H21" s="11">
        <v>188</v>
      </c>
      <c r="I21" s="11">
        <v>185</v>
      </c>
      <c r="J21" s="12">
        <v>10</v>
      </c>
      <c r="K21" s="9">
        <v>9</v>
      </c>
      <c r="L21" s="9">
        <v>35</v>
      </c>
    </row>
    <row r="22" spans="2:12" ht="11.25">
      <c r="B22" s="1" t="s">
        <v>16</v>
      </c>
      <c r="C22" s="9">
        <f aca="true" t="shared" si="3" ref="C22:L22">SUM(C23:C24)</f>
        <v>407370</v>
      </c>
      <c r="D22" s="9">
        <f t="shared" si="3"/>
        <v>480184</v>
      </c>
      <c r="E22" s="9">
        <f t="shared" si="3"/>
        <v>386848</v>
      </c>
      <c r="F22" s="9">
        <f t="shared" si="3"/>
        <v>389468</v>
      </c>
      <c r="G22" s="10">
        <f t="shared" si="3"/>
        <v>392846</v>
      </c>
      <c r="H22" s="11">
        <f t="shared" si="3"/>
        <v>440152</v>
      </c>
      <c r="I22" s="11">
        <f t="shared" si="3"/>
        <v>479808</v>
      </c>
      <c r="J22" s="12">
        <f t="shared" si="3"/>
        <v>417116</v>
      </c>
      <c r="K22" s="9">
        <f t="shared" si="3"/>
        <v>468009</v>
      </c>
      <c r="L22" s="9">
        <f t="shared" si="3"/>
        <v>214307</v>
      </c>
    </row>
    <row r="23" spans="2:12" ht="11.25">
      <c r="B23" s="1" t="s">
        <v>20</v>
      </c>
      <c r="C23" s="9">
        <f>31062+89017</f>
        <v>120079</v>
      </c>
      <c r="D23" s="9">
        <v>185335</v>
      </c>
      <c r="E23" s="9">
        <v>145063</v>
      </c>
      <c r="F23" s="9">
        <v>190590</v>
      </c>
      <c r="G23" s="10">
        <v>190754</v>
      </c>
      <c r="H23" s="11">
        <v>200124</v>
      </c>
      <c r="I23" s="11">
        <v>313647</v>
      </c>
      <c r="J23" s="12">
        <v>155537</v>
      </c>
      <c r="K23" s="9">
        <v>155329</v>
      </c>
      <c r="L23" s="9">
        <v>47298</v>
      </c>
    </row>
    <row r="24" spans="2:12" ht="11.25">
      <c r="B24" s="1" t="s">
        <v>21</v>
      </c>
      <c r="C24" s="9">
        <f>1163+813+276501+5000+3814</f>
        <v>287291</v>
      </c>
      <c r="D24" s="9">
        <v>294849</v>
      </c>
      <c r="E24" s="9">
        <v>241785</v>
      </c>
      <c r="F24" s="9">
        <v>198878</v>
      </c>
      <c r="G24" s="10">
        <v>202092</v>
      </c>
      <c r="H24" s="11">
        <v>240028</v>
      </c>
      <c r="I24" s="11">
        <v>166161</v>
      </c>
      <c r="J24" s="12">
        <v>261579</v>
      </c>
      <c r="K24" s="9">
        <v>312680</v>
      </c>
      <c r="L24" s="9">
        <v>167009</v>
      </c>
    </row>
    <row r="25" spans="1:12" ht="11.25">
      <c r="A25" s="2" t="s">
        <v>22</v>
      </c>
      <c r="B25" s="2"/>
      <c r="C25" s="13">
        <v>106573</v>
      </c>
      <c r="D25" s="13">
        <v>108316</v>
      </c>
      <c r="E25" s="13">
        <v>104849</v>
      </c>
      <c r="F25" s="13">
        <v>125124</v>
      </c>
      <c r="G25" s="14">
        <v>120034</v>
      </c>
      <c r="H25" s="13">
        <v>114875</v>
      </c>
      <c r="I25" s="13">
        <v>109565</v>
      </c>
      <c r="J25" s="15">
        <v>47622</v>
      </c>
      <c r="K25" s="13">
        <v>44739</v>
      </c>
      <c r="L25" s="13">
        <v>51899</v>
      </c>
    </row>
    <row r="26" spans="1:12" ht="11.25">
      <c r="A26" s="4" t="s">
        <v>23</v>
      </c>
      <c r="D26" s="9"/>
      <c r="F26" s="9"/>
      <c r="G26" s="10"/>
      <c r="H26" s="11"/>
      <c r="I26" s="11"/>
      <c r="J26" s="12"/>
      <c r="K26" s="9"/>
      <c r="L26" s="9"/>
    </row>
    <row r="27" spans="1:12" ht="11.25">
      <c r="A27" s="1" t="s">
        <v>12</v>
      </c>
      <c r="C27" s="9">
        <f>(C11+G11)/2</f>
        <v>879282.5</v>
      </c>
      <c r="D27" s="9">
        <f>(D11+H11)/2</f>
        <v>908154</v>
      </c>
      <c r="E27" s="9">
        <f>(E11+I11)/2</f>
        <v>969556</v>
      </c>
      <c r="F27" s="9">
        <f>(F11+J11)/2</f>
        <v>692778</v>
      </c>
      <c r="G27" s="10">
        <f>(G11+565260)/2</f>
        <v>720401.5</v>
      </c>
      <c r="H27" s="11">
        <f>(H11+555861)/2</f>
        <v>716245</v>
      </c>
      <c r="I27" s="11">
        <f>(I11+350082)/2</f>
        <v>638552.5</v>
      </c>
      <c r="J27" s="12">
        <f>(J11+249221)/2</f>
        <v>376400.5</v>
      </c>
      <c r="K27" s="9">
        <f>(K11+L11)/2</f>
        <v>432493</v>
      </c>
      <c r="L27" s="9">
        <f>(L11+422707)/2</f>
        <v>361216.5</v>
      </c>
    </row>
    <row r="28" spans="1:12" ht="11.25">
      <c r="A28" s="1" t="s">
        <v>24</v>
      </c>
      <c r="C28" s="9">
        <f aca="true" t="shared" si="4" ref="C28:L28">C29+C30</f>
        <v>786763</v>
      </c>
      <c r="D28" s="9">
        <f t="shared" si="4"/>
        <v>813159.5</v>
      </c>
      <c r="E28" s="9">
        <f t="shared" si="4"/>
        <v>849888.5</v>
      </c>
      <c r="F28" s="9">
        <f t="shared" si="4"/>
        <v>622114</v>
      </c>
      <c r="G28" s="10">
        <f t="shared" si="4"/>
        <v>646497.5</v>
      </c>
      <c r="H28" s="11">
        <f t="shared" si="4"/>
        <v>642322</v>
      </c>
      <c r="I28" s="11">
        <f t="shared" si="4"/>
        <v>535186.5</v>
      </c>
      <c r="J28" s="12">
        <f t="shared" si="4"/>
        <v>352777.5</v>
      </c>
      <c r="K28" s="9">
        <f t="shared" si="4"/>
        <v>406584</v>
      </c>
      <c r="L28" s="9">
        <f t="shared" si="4"/>
        <v>342709</v>
      </c>
    </row>
    <row r="29" spans="2:12" ht="11.25">
      <c r="B29" s="1" t="s">
        <v>14</v>
      </c>
      <c r="C29" s="9">
        <f>(C13+G13)/2</f>
        <v>738361</v>
      </c>
      <c r="D29" s="9">
        <f>(D13+H13)/2</f>
        <v>770308</v>
      </c>
      <c r="E29" s="9">
        <f>(E13+I13)/2</f>
        <v>809014.5</v>
      </c>
      <c r="F29" s="9">
        <f>(F13+J13)/2</f>
        <v>586917.5</v>
      </c>
      <c r="G29" s="10">
        <f>(G13+K13)/2</f>
        <v>615843</v>
      </c>
      <c r="H29" s="11">
        <f>(H13+485998)/2</f>
        <v>615678</v>
      </c>
      <c r="I29" s="11">
        <f>(I13+195738)/2</f>
        <v>483180</v>
      </c>
      <c r="J29" s="12">
        <f>(J13+217326)/2</f>
        <v>330887.5</v>
      </c>
      <c r="K29" s="9">
        <f>(K13+L13)/2</f>
        <v>385893</v>
      </c>
      <c r="L29" s="9">
        <f>(L13+388644)/2</f>
        <v>326809.5</v>
      </c>
    </row>
    <row r="30" spans="2:12" ht="11.25">
      <c r="B30" s="1" t="s">
        <v>17</v>
      </c>
      <c r="C30" s="9">
        <f>(C16+G16)/2</f>
        <v>48402</v>
      </c>
      <c r="D30" s="9">
        <f>(D16+H16)/2</f>
        <v>42851.5</v>
      </c>
      <c r="E30" s="9">
        <f>(E16+I16)/2</f>
        <v>40874</v>
      </c>
      <c r="F30" s="9">
        <f>(F16+J16)/2</f>
        <v>35196.5</v>
      </c>
      <c r="G30" s="10">
        <f>(G16+K16)/2</f>
        <v>30654.5</v>
      </c>
      <c r="H30" s="11">
        <f>(H16+23349)/2</f>
        <v>26644</v>
      </c>
      <c r="I30" s="11">
        <f>(I16+74025)/2</f>
        <v>52006.5</v>
      </c>
      <c r="J30" s="12">
        <f>(J16+18225)/2</f>
        <v>21890</v>
      </c>
      <c r="K30" s="9">
        <f>(K16+L16)/2</f>
        <v>20691</v>
      </c>
      <c r="L30" s="9">
        <f>(L16+16181)/2</f>
        <v>15899.5</v>
      </c>
    </row>
    <row r="31" spans="1:12" ht="11.25">
      <c r="A31" s="2" t="s">
        <v>22</v>
      </c>
      <c r="B31" s="2"/>
      <c r="C31" s="13">
        <f>(C25+G25)/2</f>
        <v>113303.5</v>
      </c>
      <c r="D31" s="13">
        <f>(D25+H25)/2</f>
        <v>111595.5</v>
      </c>
      <c r="E31" s="13">
        <f>(E25+I25)/2</f>
        <v>107207</v>
      </c>
      <c r="F31" s="13">
        <f>(F25+J25)/2</f>
        <v>86373</v>
      </c>
      <c r="G31" s="14">
        <f>(G25+K25)/2</f>
        <v>82386.5</v>
      </c>
      <c r="H31" s="13">
        <f>(H25+57404)/2</f>
        <v>86139.5</v>
      </c>
      <c r="I31" s="13">
        <f>(I25+54996)/2</f>
        <v>82280.5</v>
      </c>
      <c r="J31" s="15">
        <f>(J25+53756)/2</f>
        <v>50689</v>
      </c>
      <c r="K31" s="13">
        <f>(K25+L25)/2</f>
        <v>48319</v>
      </c>
      <c r="L31" s="13">
        <f>(L25+44679)/2</f>
        <v>48289</v>
      </c>
    </row>
    <row r="32" spans="1:10" ht="11.25">
      <c r="A32" s="4" t="s">
        <v>25</v>
      </c>
      <c r="D32" s="9"/>
      <c r="F32" s="9"/>
      <c r="G32" s="16"/>
      <c r="H32" s="17"/>
      <c r="I32" s="17"/>
      <c r="J32" s="18"/>
    </row>
    <row r="33" spans="1:12" ht="11.25">
      <c r="A33" s="1" t="s">
        <v>26</v>
      </c>
      <c r="C33" s="19">
        <v>65023</v>
      </c>
      <c r="D33" s="9">
        <f>E33+16083</f>
        <v>50375</v>
      </c>
      <c r="E33" s="9">
        <f>F33+17066</f>
        <v>34292</v>
      </c>
      <c r="F33" s="9">
        <v>17226</v>
      </c>
      <c r="G33" s="10">
        <f>18332+H33</f>
        <v>64191</v>
      </c>
      <c r="H33" s="11">
        <f>18085+I33</f>
        <v>45859</v>
      </c>
      <c r="I33" s="11">
        <f>17738+J33</f>
        <v>27774</v>
      </c>
      <c r="J33" s="12">
        <v>10036</v>
      </c>
      <c r="K33" s="9">
        <v>24413</v>
      </c>
      <c r="L33" s="9">
        <v>20278</v>
      </c>
    </row>
    <row r="34" spans="1:12" ht="11.25">
      <c r="A34" s="1" t="s">
        <v>27</v>
      </c>
      <c r="C34" s="19">
        <v>35271</v>
      </c>
      <c r="D34" s="9">
        <f>E34+8760</f>
        <v>28449</v>
      </c>
      <c r="E34" s="9">
        <f>F34+9693</f>
        <v>19689</v>
      </c>
      <c r="F34" s="9">
        <v>9996</v>
      </c>
      <c r="G34" s="10">
        <f>11269+H34</f>
        <v>39705</v>
      </c>
      <c r="H34" s="11">
        <f>10818+I34</f>
        <v>28436</v>
      </c>
      <c r="I34" s="11">
        <f>10749+J34</f>
        <v>17618</v>
      </c>
      <c r="J34" s="12">
        <v>6869</v>
      </c>
      <c r="K34" s="9">
        <v>18538</v>
      </c>
      <c r="L34" s="9">
        <v>13171</v>
      </c>
    </row>
    <row r="35" spans="1:12" ht="11.25">
      <c r="A35" s="1" t="s">
        <v>28</v>
      </c>
      <c r="C35" s="9">
        <f aca="true" t="shared" si="5" ref="C35:L35">C33-C34</f>
        <v>29752</v>
      </c>
      <c r="D35" s="9">
        <f t="shared" si="5"/>
        <v>21926</v>
      </c>
      <c r="E35" s="9">
        <f t="shared" si="5"/>
        <v>14603</v>
      </c>
      <c r="F35" s="9">
        <f t="shared" si="5"/>
        <v>7230</v>
      </c>
      <c r="G35" s="10">
        <f t="shared" si="5"/>
        <v>24486</v>
      </c>
      <c r="H35" s="11">
        <f t="shared" si="5"/>
        <v>17423</v>
      </c>
      <c r="I35" s="11">
        <f t="shared" si="5"/>
        <v>10156</v>
      </c>
      <c r="J35" s="12">
        <f t="shared" si="5"/>
        <v>3167</v>
      </c>
      <c r="K35" s="9">
        <f t="shared" si="5"/>
        <v>5875</v>
      </c>
      <c r="L35" s="9">
        <f t="shared" si="5"/>
        <v>7107</v>
      </c>
    </row>
    <row r="36" spans="1:12" ht="11.25">
      <c r="A36" s="1" t="s">
        <v>29</v>
      </c>
      <c r="C36" s="19">
        <v>8387</v>
      </c>
      <c r="D36" s="9">
        <f>E36+1500</f>
        <v>6645</v>
      </c>
      <c r="E36" s="9">
        <f>F36+2888</f>
        <v>5145</v>
      </c>
      <c r="F36" s="9">
        <v>2257</v>
      </c>
      <c r="G36" s="10">
        <f>1267+H36</f>
        <v>4625</v>
      </c>
      <c r="H36" s="11">
        <f>1524+I36</f>
        <v>3358</v>
      </c>
      <c r="I36" s="11">
        <f>1234+J36</f>
        <v>1834</v>
      </c>
      <c r="J36" s="12">
        <v>600</v>
      </c>
      <c r="K36" s="9">
        <v>1944</v>
      </c>
      <c r="L36" s="9">
        <v>2927</v>
      </c>
    </row>
    <row r="37" spans="1:12" ht="11.25">
      <c r="A37" s="1" t="s">
        <v>30</v>
      </c>
      <c r="C37" s="9">
        <v>38140</v>
      </c>
      <c r="D37" s="9">
        <f aca="true" t="shared" si="6" ref="D37:L37">D35+D36</f>
        <v>28571</v>
      </c>
      <c r="E37" s="9">
        <f t="shared" si="6"/>
        <v>19748</v>
      </c>
      <c r="F37" s="9">
        <f t="shared" si="6"/>
        <v>9487</v>
      </c>
      <c r="G37" s="10">
        <f t="shared" si="6"/>
        <v>29111</v>
      </c>
      <c r="H37" s="11">
        <f t="shared" si="6"/>
        <v>20781</v>
      </c>
      <c r="I37" s="11">
        <f t="shared" si="6"/>
        <v>11990</v>
      </c>
      <c r="J37" s="12">
        <f t="shared" si="6"/>
        <v>3767</v>
      </c>
      <c r="K37" s="9">
        <f t="shared" si="6"/>
        <v>7819</v>
      </c>
      <c r="L37" s="9">
        <f t="shared" si="6"/>
        <v>10034</v>
      </c>
    </row>
    <row r="38" spans="1:12" ht="11.25">
      <c r="A38" s="1" t="s">
        <v>31</v>
      </c>
      <c r="C38" s="19">
        <v>16230</v>
      </c>
      <c r="D38" s="9">
        <f>E38+4464</f>
        <v>11418</v>
      </c>
      <c r="E38" s="9">
        <f>F38+3777</f>
        <v>6954</v>
      </c>
      <c r="F38" s="9">
        <v>3177</v>
      </c>
      <c r="G38" s="10">
        <f>3175+H38</f>
        <v>11044</v>
      </c>
      <c r="H38" s="11">
        <f>3479+I38</f>
        <v>7869</v>
      </c>
      <c r="I38" s="11">
        <f>3502+J38</f>
        <v>4390</v>
      </c>
      <c r="J38" s="12">
        <v>888</v>
      </c>
      <c r="K38" s="9">
        <v>2800</v>
      </c>
      <c r="L38" s="9">
        <v>2814</v>
      </c>
    </row>
    <row r="39" spans="1:12" ht="11.25">
      <c r="A39" s="1" t="s">
        <v>32</v>
      </c>
      <c r="C39" s="9">
        <f aca="true" t="shared" si="7" ref="C39:L39">C37-C38</f>
        <v>21910</v>
      </c>
      <c r="D39" s="9">
        <f t="shared" si="7"/>
        <v>17153</v>
      </c>
      <c r="E39" s="9">
        <f t="shared" si="7"/>
        <v>12794</v>
      </c>
      <c r="F39" s="9">
        <f t="shared" si="7"/>
        <v>6310</v>
      </c>
      <c r="G39" s="10">
        <f t="shared" si="7"/>
        <v>18067</v>
      </c>
      <c r="H39" s="11">
        <f t="shared" si="7"/>
        <v>12912</v>
      </c>
      <c r="I39" s="11">
        <f t="shared" si="7"/>
        <v>7600</v>
      </c>
      <c r="J39" s="12">
        <f t="shared" si="7"/>
        <v>2879</v>
      </c>
      <c r="K39" s="9">
        <f t="shared" si="7"/>
        <v>5019</v>
      </c>
      <c r="L39" s="9">
        <f t="shared" si="7"/>
        <v>7220</v>
      </c>
    </row>
    <row r="40" spans="1:12" ht="11.25">
      <c r="A40" s="2" t="s">
        <v>33</v>
      </c>
      <c r="B40" s="2"/>
      <c r="C40" s="20">
        <v>11539</v>
      </c>
      <c r="D40" s="13">
        <f>E40+3467</f>
        <v>13282</v>
      </c>
      <c r="E40" s="13">
        <f>F40+4724</f>
        <v>9815</v>
      </c>
      <c r="F40" s="13">
        <v>5091</v>
      </c>
      <c r="G40" s="14">
        <f>5155+H40</f>
        <v>18067</v>
      </c>
      <c r="H40" s="13">
        <f>5312+I40</f>
        <v>12912</v>
      </c>
      <c r="I40" s="13">
        <f>4721+J40</f>
        <v>7600</v>
      </c>
      <c r="J40" s="15">
        <v>2879</v>
      </c>
      <c r="K40" s="13">
        <v>3898</v>
      </c>
      <c r="L40" s="13">
        <v>7220</v>
      </c>
    </row>
    <row r="41" spans="1:12" ht="11.25">
      <c r="A41" s="4" t="s">
        <v>34</v>
      </c>
      <c r="D41" s="9"/>
      <c r="E41" s="9"/>
      <c r="G41" s="10"/>
      <c r="H41" s="11"/>
      <c r="I41" s="11"/>
      <c r="J41" s="12"/>
      <c r="K41" s="9"/>
      <c r="L41" s="9"/>
    </row>
    <row r="42" spans="1:12" ht="11.25">
      <c r="A42" s="1" t="s">
        <v>35</v>
      </c>
      <c r="C42" s="9">
        <v>6372</v>
      </c>
      <c r="D42" s="9">
        <v>4386</v>
      </c>
      <c r="E42" s="9">
        <v>14972</v>
      </c>
      <c r="F42" s="9">
        <v>16511</v>
      </c>
      <c r="G42" s="10">
        <v>4154</v>
      </c>
      <c r="H42" s="11">
        <v>14074</v>
      </c>
      <c r="I42" s="11">
        <v>14528</v>
      </c>
      <c r="J42" s="12">
        <v>11764</v>
      </c>
      <c r="K42" s="9">
        <v>19589</v>
      </c>
      <c r="L42" s="9">
        <v>6625</v>
      </c>
    </row>
    <row r="43" spans="1:12" ht="11.25">
      <c r="A43" s="1" t="s">
        <v>36</v>
      </c>
      <c r="C43" s="9">
        <v>17330</v>
      </c>
      <c r="D43" s="9">
        <v>10726</v>
      </c>
      <c r="E43" s="9">
        <v>11493</v>
      </c>
      <c r="F43" s="9">
        <v>10665</v>
      </c>
      <c r="G43" s="10">
        <v>10510</v>
      </c>
      <c r="H43" s="11">
        <v>10682</v>
      </c>
      <c r="I43" s="11">
        <v>12488</v>
      </c>
      <c r="J43" s="12">
        <v>7333</v>
      </c>
      <c r="K43" s="9">
        <v>9647</v>
      </c>
      <c r="L43" s="9">
        <v>4526</v>
      </c>
    </row>
    <row r="44" spans="1:12" ht="11.25">
      <c r="A44" s="1" t="s">
        <v>37</v>
      </c>
      <c r="C44" s="21">
        <f aca="true" t="shared" si="8" ref="C44:L44">C42/C13</f>
        <v>0.00847512858334209</v>
      </c>
      <c r="D44" s="21">
        <f t="shared" si="8"/>
        <v>0.005515191296409467</v>
      </c>
      <c r="E44" s="21">
        <f t="shared" si="8"/>
        <v>0.017668015487245208</v>
      </c>
      <c r="F44" s="21">
        <f t="shared" si="8"/>
        <v>0.022636847978985065</v>
      </c>
      <c r="G44" s="22">
        <f t="shared" si="8"/>
        <v>0.005730643214347301</v>
      </c>
      <c r="H44" s="23">
        <f t="shared" si="8"/>
        <v>0.018882201572935423</v>
      </c>
      <c r="I44" s="23">
        <f t="shared" si="8"/>
        <v>0.018852303723485703</v>
      </c>
      <c r="J44" s="24">
        <f t="shared" si="8"/>
        <v>0.02646872869553087</v>
      </c>
      <c r="K44" s="21">
        <f t="shared" si="8"/>
        <v>0.03865148941124009</v>
      </c>
      <c r="L44" s="21">
        <f t="shared" si="8"/>
        <v>0.02500235871308614</v>
      </c>
    </row>
    <row r="45" spans="1:12" ht="11.25">
      <c r="A45" s="1" t="s">
        <v>38</v>
      </c>
      <c r="C45" s="21">
        <f aca="true" t="shared" si="9" ref="C45:L45">C43/C42</f>
        <v>2.7197112366603893</v>
      </c>
      <c r="D45" s="21">
        <f t="shared" si="9"/>
        <v>2.4455084359325125</v>
      </c>
      <c r="E45" s="21">
        <f t="shared" si="9"/>
        <v>0.7676329147742452</v>
      </c>
      <c r="F45" s="21">
        <f t="shared" si="9"/>
        <v>0.645933014354067</v>
      </c>
      <c r="G45" s="22">
        <f t="shared" si="9"/>
        <v>2.530091478093404</v>
      </c>
      <c r="H45" s="23">
        <f t="shared" si="9"/>
        <v>0.75898820520108</v>
      </c>
      <c r="I45" s="23">
        <f t="shared" si="9"/>
        <v>0.8595814977973568</v>
      </c>
      <c r="J45" s="24">
        <f t="shared" si="9"/>
        <v>0.6233424005440327</v>
      </c>
      <c r="K45" s="21">
        <f t="shared" si="9"/>
        <v>0.49247026392363064</v>
      </c>
      <c r="L45" s="21">
        <f t="shared" si="9"/>
        <v>0.6831698113207547</v>
      </c>
    </row>
    <row r="46" spans="1:12" ht="11.25">
      <c r="A46" s="2" t="s">
        <v>39</v>
      </c>
      <c r="B46" s="2"/>
      <c r="C46" s="25">
        <f aca="true" t="shared" si="10" ref="C46:L46">C43/C13</f>
        <v>0.023049902440257126</v>
      </c>
      <c r="D46" s="25">
        <f t="shared" si="10"/>
        <v>0.013487446841150922</v>
      </c>
      <c r="E46" s="25">
        <f t="shared" si="10"/>
        <v>0.013562550226750547</v>
      </c>
      <c r="F46" s="25">
        <f t="shared" si="10"/>
        <v>0.014621887450540591</v>
      </c>
      <c r="G46" s="26">
        <f t="shared" si="10"/>
        <v>0.0144990515606139</v>
      </c>
      <c r="H46" s="25">
        <f t="shared" si="10"/>
        <v>0.014331368282087266</v>
      </c>
      <c r="I46" s="25">
        <f t="shared" si="10"/>
        <v>0.01620509147156453</v>
      </c>
      <c r="J46" s="27">
        <f t="shared" si="10"/>
        <v>0.016499080884420935</v>
      </c>
      <c r="K46" s="25">
        <f t="shared" si="10"/>
        <v>0.01903470919139482</v>
      </c>
      <c r="L46" s="25">
        <f t="shared" si="10"/>
        <v>0.017080856684592888</v>
      </c>
    </row>
    <row r="47" spans="1:10" ht="11.25">
      <c r="A47" s="4" t="s">
        <v>40</v>
      </c>
      <c r="G47" s="16"/>
      <c r="H47" s="17"/>
      <c r="I47" s="17"/>
      <c r="J47" s="18"/>
    </row>
    <row r="48" spans="1:12" ht="11.25">
      <c r="A48" s="1" t="s">
        <v>41</v>
      </c>
      <c r="C48" s="21">
        <f aca="true" t="shared" si="11" ref="C48:L48">C25/(C13+C16)</f>
        <v>0.131069011912346</v>
      </c>
      <c r="D48" s="21">
        <f t="shared" si="11"/>
        <v>0.12727755569186225</v>
      </c>
      <c r="E48" s="21">
        <f t="shared" si="11"/>
        <v>0.11660681497430399</v>
      </c>
      <c r="F48" s="21">
        <f t="shared" si="11"/>
        <v>0.16161214325569861</v>
      </c>
      <c r="G48" s="22">
        <f t="shared" si="11"/>
        <v>0.15785223955182662</v>
      </c>
      <c r="H48" s="23">
        <f t="shared" si="11"/>
        <v>0.14816902425780057</v>
      </c>
      <c r="I48" s="23">
        <f t="shared" si="11"/>
        <v>0.13685190042592524</v>
      </c>
      <c r="J48" s="24">
        <f t="shared" si="11"/>
        <v>0.10132254193581332</v>
      </c>
      <c r="K48" s="21">
        <f t="shared" si="11"/>
        <v>0.08400506970849177</v>
      </c>
      <c r="L48" s="21">
        <f t="shared" si="11"/>
        <v>0.18496184865623874</v>
      </c>
    </row>
    <row r="49" spans="1:12" ht="11.25">
      <c r="A49" s="2" t="s">
        <v>42</v>
      </c>
      <c r="B49" s="2"/>
      <c r="C49" s="25">
        <f>C25/C13</f>
        <v>0.14174825463159393</v>
      </c>
      <c r="D49" s="25">
        <f aca="true" t="shared" si="12" ref="D49:L49">D25/D11</f>
        <v>0.11526915042264432</v>
      </c>
      <c r="E49" s="25">
        <f t="shared" si="12"/>
        <v>0.10359662045531569</v>
      </c>
      <c r="F49" s="25">
        <f t="shared" si="12"/>
        <v>0.14186780592669188</v>
      </c>
      <c r="G49" s="26">
        <f t="shared" si="12"/>
        <v>0.13709663603044053</v>
      </c>
      <c r="H49" s="25">
        <f t="shared" si="12"/>
        <v>0.1310417519840206</v>
      </c>
      <c r="I49" s="25">
        <f t="shared" si="12"/>
        <v>0.11819016356659975</v>
      </c>
      <c r="J49" s="27">
        <f t="shared" si="12"/>
        <v>0.09456690098891933</v>
      </c>
      <c r="K49" s="25">
        <f t="shared" si="12"/>
        <v>0.07914764886954676</v>
      </c>
      <c r="L49" s="25">
        <f t="shared" si="12"/>
        <v>0.17315481473078745</v>
      </c>
    </row>
    <row r="50" spans="1:12" ht="11.25">
      <c r="A50" s="4" t="s">
        <v>43</v>
      </c>
      <c r="F50" s="28"/>
      <c r="G50" s="29"/>
      <c r="H50" s="30"/>
      <c r="I50" s="30"/>
      <c r="J50" s="31"/>
      <c r="K50" s="28"/>
      <c r="L50" s="28"/>
    </row>
    <row r="51" spans="1:12" ht="11.25">
      <c r="A51" s="1" t="s">
        <v>44</v>
      </c>
      <c r="C51" s="28">
        <f aca="true" t="shared" si="13" ref="C51:L51">C12/C17</f>
        <v>0.05483521237043405</v>
      </c>
      <c r="D51" s="28">
        <f t="shared" si="13"/>
        <v>0.06887141885252097</v>
      </c>
      <c r="E51" s="28">
        <f t="shared" si="13"/>
        <v>0.09882979025661108</v>
      </c>
      <c r="F51" s="28">
        <f t="shared" si="13"/>
        <v>0.07850651635940759</v>
      </c>
      <c r="G51" s="29">
        <f t="shared" si="13"/>
        <v>0.09129153276532079</v>
      </c>
      <c r="H51" s="30">
        <f t="shared" si="13"/>
        <v>0.07495038862245741</v>
      </c>
      <c r="I51" s="30">
        <f t="shared" si="13"/>
        <v>0.1069265902034742</v>
      </c>
      <c r="J51" s="31">
        <f t="shared" si="13"/>
        <v>0.023986455568774594</v>
      </c>
      <c r="K51" s="28">
        <f t="shared" si="13"/>
        <v>0.022093989176808368</v>
      </c>
      <c r="L51" s="28">
        <f t="shared" si="13"/>
        <v>0.03808148406036302</v>
      </c>
    </row>
    <row r="52" spans="1:12" ht="11.25">
      <c r="A52" s="1" t="s">
        <v>45</v>
      </c>
      <c r="C52" s="28">
        <f aca="true" t="shared" si="14" ref="C52:L52">C12/C11</f>
        <v>0.0453646681509634</v>
      </c>
      <c r="D52" s="28">
        <f t="shared" si="14"/>
        <v>0.05817518535585024</v>
      </c>
      <c r="E52" s="28">
        <f t="shared" si="14"/>
        <v>0.07904838408479886</v>
      </c>
      <c r="F52" s="28">
        <f t="shared" si="14"/>
        <v>0.06398926954928479</v>
      </c>
      <c r="G52" s="29">
        <f t="shared" si="14"/>
        <v>0.0744303820600473</v>
      </c>
      <c r="H52" s="30">
        <f t="shared" si="14"/>
        <v>0.06204106868470014</v>
      </c>
      <c r="I52" s="30">
        <f t="shared" si="14"/>
        <v>0.08990607568528505</v>
      </c>
      <c r="J52" s="31">
        <f t="shared" si="14"/>
        <v>0.02081893641526669</v>
      </c>
      <c r="K52" s="28">
        <f t="shared" si="14"/>
        <v>0.01938576938046209</v>
      </c>
      <c r="L52" s="28">
        <f t="shared" si="14"/>
        <v>0.029560331769682976</v>
      </c>
    </row>
    <row r="53" spans="1:12" ht="11.25">
      <c r="A53" s="2" t="s">
        <v>46</v>
      </c>
      <c r="B53" s="2"/>
      <c r="C53" s="32">
        <f aca="true" t="shared" si="15" ref="C53:L53">(C12+C16)/C17</f>
        <v>0.13869237634767753</v>
      </c>
      <c r="D53" s="32">
        <f t="shared" si="15"/>
        <v>0.13912616221936655</v>
      </c>
      <c r="E53" s="32">
        <f t="shared" si="15"/>
        <v>0.16276946756877284</v>
      </c>
      <c r="F53" s="32">
        <f t="shared" si="15"/>
        <v>0.1408782792192888</v>
      </c>
      <c r="G53" s="33">
        <f t="shared" si="15"/>
        <v>0.14108602280081925</v>
      </c>
      <c r="H53" s="32">
        <f t="shared" si="15"/>
        <v>0.1162091395182184</v>
      </c>
      <c r="I53" s="32">
        <f t="shared" si="15"/>
        <v>0.14539937905729608</v>
      </c>
      <c r="J53" s="34">
        <f t="shared" si="15"/>
        <v>0.08245401299533266</v>
      </c>
      <c r="K53" s="32">
        <f t="shared" si="15"/>
        <v>0.07404047002653376</v>
      </c>
      <c r="L53" s="32">
        <f t="shared" si="15"/>
        <v>0.10520977052252438</v>
      </c>
    </row>
    <row r="54" spans="1:10" ht="11.25">
      <c r="A54" s="4" t="s">
        <v>47</v>
      </c>
      <c r="G54" s="16"/>
      <c r="H54" s="17"/>
      <c r="I54" s="17"/>
      <c r="J54" s="18"/>
    </row>
    <row r="55" spans="1:12" ht="11.25">
      <c r="A55" s="1" t="s">
        <v>48</v>
      </c>
      <c r="B55" s="17"/>
      <c r="C55" s="35">
        <f>C40/C28</f>
        <v>0.014666424323462084</v>
      </c>
      <c r="D55" s="35">
        <f>(D40/0.75)/D28</f>
        <v>0.021778425183907133</v>
      </c>
      <c r="E55" s="21">
        <f>(E40/0.5)/E28</f>
        <v>0.023097147449341885</v>
      </c>
      <c r="F55" s="21">
        <f>((F40)/0.25)/F28</f>
        <v>0.03273355044252339</v>
      </c>
      <c r="G55" s="36">
        <f>G40/G28</f>
        <v>0.027945970402051053</v>
      </c>
      <c r="H55" s="35">
        <f>(H40/0.75)/H28</f>
        <v>0.02680275624998054</v>
      </c>
      <c r="I55" s="35">
        <f>(I40/0.5)/I28</f>
        <v>0.028401314308189762</v>
      </c>
      <c r="J55" s="24">
        <f>((J40)/0.25)/J28</f>
        <v>0.0326438052313427</v>
      </c>
      <c r="K55" s="21">
        <f>K40/K28</f>
        <v>0.009587194774019637</v>
      </c>
      <c r="L55" s="21">
        <f>L40/L28</f>
        <v>0.021067436221400664</v>
      </c>
    </row>
    <row r="56" spans="1:12" ht="11.25">
      <c r="A56" s="1" t="s">
        <v>49</v>
      </c>
      <c r="B56" s="17"/>
      <c r="C56" s="35">
        <f>C40/C27</f>
        <v>0.013123199881721745</v>
      </c>
      <c r="D56" s="35">
        <f>(D40/0.75)/D27</f>
        <v>0.019500363741538695</v>
      </c>
      <c r="E56" s="21">
        <f>(E40/0.5)/E27</f>
        <v>0.020246380817611362</v>
      </c>
      <c r="F56" s="21">
        <f>((F40)/0.25)/F27</f>
        <v>0.029394697868581277</v>
      </c>
      <c r="G56" s="36">
        <f>G40/G27</f>
        <v>0.025079070490552836</v>
      </c>
      <c r="H56" s="35">
        <f>(H40/0.75)/H27</f>
        <v>0.02403646796836278</v>
      </c>
      <c r="I56" s="35">
        <f>(I40/0.5)/I27</f>
        <v>0.023803837585789734</v>
      </c>
      <c r="J56" s="24">
        <f>((J40)/0.25)/J27</f>
        <v>0.03059507094172298</v>
      </c>
      <c r="K56" s="21">
        <f>K40/K27</f>
        <v>0.009012862635927056</v>
      </c>
      <c r="L56" s="21">
        <f>L40/L27</f>
        <v>0.019988012729208107</v>
      </c>
    </row>
    <row r="57" spans="1:12" ht="11.25">
      <c r="A57" s="1" t="s">
        <v>50</v>
      </c>
      <c r="B57" s="17"/>
      <c r="C57" s="35">
        <f>+C40/C31</f>
        <v>0.1018415141632871</v>
      </c>
      <c r="D57" s="35">
        <f>(D40/0.75)/D31</f>
        <v>0.15869218143503397</v>
      </c>
      <c r="E57" s="21">
        <f>(E40/0.5)/E31</f>
        <v>0.18310371524247485</v>
      </c>
      <c r="F57" s="21">
        <f>((F40)/0.25)/F31</f>
        <v>0.235768121982564</v>
      </c>
      <c r="G57" s="36">
        <f>+G40/G31</f>
        <v>0.21929563702791113</v>
      </c>
      <c r="H57" s="35">
        <f>(H40/0.75)/H31</f>
        <v>0.19986185199589038</v>
      </c>
      <c r="I57" s="35">
        <f>(I40/0.5)/I31</f>
        <v>0.18473392845206338</v>
      </c>
      <c r="J57" s="24">
        <f>((J40)/0.25)/J31</f>
        <v>0.22718933101856417</v>
      </c>
      <c r="K57" s="21">
        <f>K40/K31</f>
        <v>0.0806721993418738</v>
      </c>
      <c r="L57" s="21">
        <f>L40/L31</f>
        <v>0.14951645302242747</v>
      </c>
    </row>
    <row r="58" spans="1:12" ht="11.25">
      <c r="A58" s="1" t="s">
        <v>51</v>
      </c>
      <c r="B58" s="17"/>
      <c r="C58" s="35">
        <f>C33/C28</f>
        <v>0.0826462352703419</v>
      </c>
      <c r="D58" s="35">
        <f>(D33/0.75)/D28</f>
        <v>0.08259962118952884</v>
      </c>
      <c r="E58" s="21">
        <f>(E33/0.5)/E28</f>
        <v>0.0806976444557139</v>
      </c>
      <c r="F58" s="21">
        <f>((F33)/0.25)/F28</f>
        <v>0.1107578353806537</v>
      </c>
      <c r="G58" s="36">
        <f>G33/G28</f>
        <v>0.09929040715548011</v>
      </c>
      <c r="H58" s="35">
        <f>(H33/0.75)/H28</f>
        <v>0.09519420685159988</v>
      </c>
      <c r="I58" s="35">
        <f>(I33/0.5)/I28</f>
        <v>0.10379185573627138</v>
      </c>
      <c r="J58" s="24">
        <f>((J33)/0.25)/J28</f>
        <v>0.11379410534968926</v>
      </c>
      <c r="K58" s="21">
        <f>K33/K28</f>
        <v>0.06004417291383822</v>
      </c>
      <c r="L58" s="21">
        <f>L33/L27</f>
        <v>0.05613807785635484</v>
      </c>
    </row>
    <row r="59" spans="1:12" ht="11.25">
      <c r="A59" s="1" t="s">
        <v>52</v>
      </c>
      <c r="B59" s="17"/>
      <c r="C59" s="35">
        <f>C34/C28</f>
        <v>0.04483052710918027</v>
      </c>
      <c r="D59" s="35">
        <f>(D34/0.75)/D28</f>
        <v>0.04664767490264825</v>
      </c>
      <c r="E59" s="21">
        <f>(E34/0.5)/E28</f>
        <v>0.04633313664086524</v>
      </c>
      <c r="F59" s="21">
        <f>((F34)/0.25)/F28</f>
        <v>0.06427117859427693</v>
      </c>
      <c r="G59" s="36">
        <f>G34/G28</f>
        <v>0.061415550717520175</v>
      </c>
      <c r="H59" s="35">
        <f>(H34/0.75)/H28</f>
        <v>0.05902750749105069</v>
      </c>
      <c r="I59" s="35">
        <f>(I34/0.5)/I28</f>
        <v>0.06583873098443253</v>
      </c>
      <c r="J59" s="24">
        <f>((J34)/0.25)/J28</f>
        <v>0.07788478573605176</v>
      </c>
      <c r="K59" s="21">
        <f>K34/K28</f>
        <v>0.045594514294709086</v>
      </c>
      <c r="L59" s="21">
        <f>L34/L27</f>
        <v>0.03646289690531856</v>
      </c>
    </row>
    <row r="60" spans="1:12" ht="11.25">
      <c r="A60" s="1" t="s">
        <v>53</v>
      </c>
      <c r="B60" s="17"/>
      <c r="C60" s="35">
        <f>C35/C28</f>
        <v>0.03781570816116162</v>
      </c>
      <c r="D60" s="35">
        <f>(D35/0.75)/D28</f>
        <v>0.03595194628688058</v>
      </c>
      <c r="E60" s="21">
        <f>(E35/0.5)/E28</f>
        <v>0.034364507814848656</v>
      </c>
      <c r="F60" s="21">
        <f>((F35)/0.25)/F28</f>
        <v>0.04648665678637677</v>
      </c>
      <c r="G60" s="36">
        <f>G35/G28</f>
        <v>0.03787485643795993</v>
      </c>
      <c r="H60" s="35">
        <f>(H35/0.75)/H28</f>
        <v>0.03616669936054918</v>
      </c>
      <c r="I60" s="35">
        <f>(I35/0.5)/I28</f>
        <v>0.037953124751838846</v>
      </c>
      <c r="J60" s="24">
        <f>((J35)/0.25)/J28</f>
        <v>0.03590931961363749</v>
      </c>
      <c r="K60" s="21">
        <f>K35/K28</f>
        <v>0.014449658619129134</v>
      </c>
      <c r="L60" s="21">
        <f>L35/L27</f>
        <v>0.01967518095103629</v>
      </c>
    </row>
    <row r="61" spans="1:12" ht="11.25">
      <c r="A61" s="1" t="s">
        <v>54</v>
      </c>
      <c r="B61" s="17"/>
      <c r="C61" s="35">
        <f>C38/C37</f>
        <v>0.42553749344520186</v>
      </c>
      <c r="D61" s="35">
        <f>(D38/0.75)/(D37/0.75)</f>
        <v>0.3996359945399181</v>
      </c>
      <c r="E61" s="21">
        <f>(E38/0.5)/(E37/0.5)</f>
        <v>0.352136925258254</v>
      </c>
      <c r="F61" s="21">
        <f>(F38/0.25)/(F37/0.25)</f>
        <v>0.3348793085274586</v>
      </c>
      <c r="G61" s="36">
        <f>G38/G37</f>
        <v>0.3793754937995947</v>
      </c>
      <c r="H61" s="35">
        <f>(H38/0.75)/(H37/0.75)</f>
        <v>0.37866320196333186</v>
      </c>
      <c r="I61" s="35">
        <f>(I38/0.5)/(I37/0.5)</f>
        <v>0.36613844870725604</v>
      </c>
      <c r="J61" s="24">
        <f>(J38/0.25)/(J37/0.25)</f>
        <v>0.2357313512078577</v>
      </c>
      <c r="K61" s="21">
        <f>K38/K37</f>
        <v>0.35810205908683973</v>
      </c>
      <c r="L61" s="21">
        <f>L38/L37</f>
        <v>0.2804464819613315</v>
      </c>
    </row>
    <row r="62" spans="1:12" ht="11.25">
      <c r="A62" s="2" t="s">
        <v>55</v>
      </c>
      <c r="B62" s="2"/>
      <c r="C62" s="37">
        <f>C36/C28</f>
        <v>0.01066013526309702</v>
      </c>
      <c r="D62" s="37">
        <f>(D36/0.75)/D28</f>
        <v>0.010895771370807326</v>
      </c>
      <c r="E62" s="25">
        <f>(E36/0.5)/E28</f>
        <v>0.012107470568198064</v>
      </c>
      <c r="F62" s="25">
        <f>(F36/0.25)/F28</f>
        <v>0.014511809732621353</v>
      </c>
      <c r="G62" s="38">
        <f>G36/G28</f>
        <v>0.007153933309873588</v>
      </c>
      <c r="H62" s="37">
        <f>(H36/0.75)/H28</f>
        <v>0.0069705433308112335</v>
      </c>
      <c r="I62" s="37">
        <f>(I36/0.5)/I28</f>
        <v>0.006853685584371056</v>
      </c>
      <c r="J62" s="27">
        <f>(J36/0.25)/J28</f>
        <v>0.0068031549631141445</v>
      </c>
      <c r="K62" s="25">
        <f>K36/K28</f>
        <v>0.0047812998052063045</v>
      </c>
      <c r="L62" s="25">
        <f>L36/L27</f>
        <v>0.008103173581494755</v>
      </c>
    </row>
    <row r="63" spans="1:10" ht="11.25">
      <c r="A63" s="4" t="s">
        <v>56</v>
      </c>
      <c r="G63" s="16"/>
      <c r="H63" s="17"/>
      <c r="I63" s="17"/>
      <c r="J63" s="18"/>
    </row>
    <row r="64" spans="1:12" ht="11.25">
      <c r="A64" s="1" t="s">
        <v>57</v>
      </c>
      <c r="C64" s="1">
        <v>208</v>
      </c>
      <c r="D64" s="9">
        <v>208</v>
      </c>
      <c r="E64" s="9">
        <v>210</v>
      </c>
      <c r="F64" s="9">
        <v>198</v>
      </c>
      <c r="G64" s="10">
        <v>209</v>
      </c>
      <c r="H64" s="11">
        <v>194</v>
      </c>
      <c r="I64" s="11">
        <v>188</v>
      </c>
      <c r="J64" s="12">
        <v>41</v>
      </c>
      <c r="K64" s="9">
        <v>45</v>
      </c>
      <c r="L64" s="9">
        <v>28</v>
      </c>
    </row>
    <row r="65" spans="1:12" ht="11.25">
      <c r="A65" s="1" t="s">
        <v>58</v>
      </c>
      <c r="C65" s="1">
        <v>13</v>
      </c>
      <c r="D65" s="9">
        <v>13</v>
      </c>
      <c r="E65" s="9">
        <v>13</v>
      </c>
      <c r="F65" s="9">
        <v>13</v>
      </c>
      <c r="G65" s="10">
        <v>11</v>
      </c>
      <c r="H65" s="11">
        <v>11</v>
      </c>
      <c r="I65" s="11">
        <v>11</v>
      </c>
      <c r="J65" s="12">
        <v>1</v>
      </c>
      <c r="K65" s="9">
        <v>1</v>
      </c>
      <c r="L65" s="9">
        <v>1</v>
      </c>
    </row>
    <row r="66" spans="1:12" ht="11.25">
      <c r="A66" s="1" t="s">
        <v>59</v>
      </c>
      <c r="C66" s="9">
        <f aca="true" t="shared" si="16" ref="C66:L66">C13/C64</f>
        <v>3614.6490384615386</v>
      </c>
      <c r="D66" s="9">
        <f t="shared" si="16"/>
        <v>3823.355769230769</v>
      </c>
      <c r="E66" s="9">
        <f t="shared" si="16"/>
        <v>4035.2714285714287</v>
      </c>
      <c r="F66" s="9">
        <f t="shared" si="16"/>
        <v>3683.7676767676767</v>
      </c>
      <c r="G66" s="10">
        <f t="shared" si="16"/>
        <v>3468.3014354066986</v>
      </c>
      <c r="H66" s="11">
        <f t="shared" si="16"/>
        <v>3842.0515463917527</v>
      </c>
      <c r="I66" s="11">
        <f t="shared" si="16"/>
        <v>4099.053191489362</v>
      </c>
      <c r="J66" s="12">
        <f t="shared" si="16"/>
        <v>10840.219512195123</v>
      </c>
      <c r="K66" s="9">
        <f t="shared" si="16"/>
        <v>11262.466666666667</v>
      </c>
      <c r="L66" s="9">
        <f t="shared" si="16"/>
        <v>9463.392857142857</v>
      </c>
    </row>
    <row r="67" spans="1:12" ht="11.25">
      <c r="A67" s="1" t="s">
        <v>60</v>
      </c>
      <c r="C67" s="9">
        <f aca="true" t="shared" si="17" ref="C67:L67">C17/C64</f>
        <v>3512.096153846154</v>
      </c>
      <c r="D67" s="9">
        <f t="shared" si="17"/>
        <v>3816.0576923076924</v>
      </c>
      <c r="E67" s="9">
        <f t="shared" si="17"/>
        <v>3854.8238095238094</v>
      </c>
      <c r="F67" s="9">
        <f t="shared" si="17"/>
        <v>3630.722222222222</v>
      </c>
      <c r="G67" s="10">
        <f t="shared" si="17"/>
        <v>3415.4736842105262</v>
      </c>
      <c r="H67" s="11">
        <f t="shared" si="17"/>
        <v>3740.4123711340208</v>
      </c>
      <c r="I67" s="11">
        <f t="shared" si="17"/>
        <v>4146.063829787234</v>
      </c>
      <c r="J67" s="12">
        <f t="shared" si="17"/>
        <v>10660.487804878048</v>
      </c>
      <c r="K67" s="9">
        <f t="shared" si="17"/>
        <v>11021.6</v>
      </c>
      <c r="L67" s="9">
        <f t="shared" si="17"/>
        <v>8309.25</v>
      </c>
    </row>
    <row r="68" spans="1:12" ht="11.25">
      <c r="A68" s="2" t="s">
        <v>61</v>
      </c>
      <c r="B68" s="2"/>
      <c r="C68" s="13">
        <f aca="true" t="shared" si="18" ref="C68:L68">(C40/C64)</f>
        <v>55.47596153846154</v>
      </c>
      <c r="D68" s="13">
        <f t="shared" si="18"/>
        <v>63.85576923076923</v>
      </c>
      <c r="E68" s="13">
        <f t="shared" si="18"/>
        <v>46.73809523809524</v>
      </c>
      <c r="F68" s="13">
        <f t="shared" si="18"/>
        <v>25.71212121212121</v>
      </c>
      <c r="G68" s="14">
        <f t="shared" si="18"/>
        <v>86.44497607655502</v>
      </c>
      <c r="H68" s="13">
        <f t="shared" si="18"/>
        <v>66.55670103092784</v>
      </c>
      <c r="I68" s="13">
        <f t="shared" si="18"/>
        <v>40.42553191489362</v>
      </c>
      <c r="J68" s="15">
        <f t="shared" si="18"/>
        <v>70.21951219512195</v>
      </c>
      <c r="K68" s="13">
        <f t="shared" si="18"/>
        <v>86.62222222222222</v>
      </c>
      <c r="L68" s="13">
        <f t="shared" si="18"/>
        <v>257.85714285714283</v>
      </c>
    </row>
    <row r="69" spans="1:10" ht="11.25">
      <c r="A69" s="4" t="s">
        <v>62</v>
      </c>
      <c r="G69" s="16"/>
      <c r="H69" s="17"/>
      <c r="I69" s="17"/>
      <c r="J69" s="18"/>
    </row>
    <row r="70" spans="1:12" ht="11.25">
      <c r="A70" s="1" t="s">
        <v>63</v>
      </c>
      <c r="C70" s="21">
        <f>(C11/G11)-1</f>
        <v>0.00854212757111883</v>
      </c>
      <c r="D70" s="21">
        <f>(D11/H11)-1</f>
        <v>0.07192324232942338</v>
      </c>
      <c r="E70" s="21">
        <f>(E11/I11)-1</f>
        <v>0.09176255605308614</v>
      </c>
      <c r="F70" s="21">
        <f>(F11/J11)-1</f>
        <v>0.7514118908614322</v>
      </c>
      <c r="G70" s="22">
        <f>(G11/K11)-1</f>
        <v>0.5489208505820331</v>
      </c>
      <c r="H70" s="23">
        <f>(H11/555861)-1</f>
        <v>0.5770651295917504</v>
      </c>
      <c r="I70" s="23">
        <f>(I11/350082)-1</f>
        <v>1.6480167503613439</v>
      </c>
      <c r="J70" s="24">
        <f>(J11/249221)-1</f>
        <v>1.0206162402044772</v>
      </c>
      <c r="K70" s="21">
        <f>(K11/L11)-1</f>
        <v>0.8859224758612867</v>
      </c>
      <c r="L70" s="21">
        <f>(L11/422707)-1</f>
        <v>-0.2909367481494274</v>
      </c>
    </row>
    <row r="71" spans="1:12" ht="11.25">
      <c r="A71" s="1" t="s">
        <v>64</v>
      </c>
      <c r="C71" s="21">
        <f aca="true" t="shared" si="19" ref="C71:E73">(C13/G13)-1</f>
        <v>0.03720917399551649</v>
      </c>
      <c r="D71" s="21">
        <f t="shared" si="19"/>
        <v>0.0669476949331731</v>
      </c>
      <c r="E71" s="21">
        <f t="shared" si="19"/>
        <v>0.0996402905704743</v>
      </c>
      <c r="F71" s="21">
        <f>F13/J13-1</f>
        <v>0.6411016787077932</v>
      </c>
      <c r="G71" s="22">
        <f>(G13/K13)-1</f>
        <v>0.4302669042305711</v>
      </c>
      <c r="H71" s="23">
        <f>H13/485998-1</f>
        <v>0.5336647475915539</v>
      </c>
      <c r="I71" s="23">
        <f>I13/195738-1</f>
        <v>2.93700763265181</v>
      </c>
      <c r="J71" s="24">
        <f>J13/217326-1</f>
        <v>1.045079741954483</v>
      </c>
      <c r="K71" s="21">
        <f>(K13/L13)-1</f>
        <v>0.9126747806396829</v>
      </c>
      <c r="L71" s="21">
        <f>L13/388644-1</f>
        <v>-0.3182063791027264</v>
      </c>
    </row>
    <row r="72" spans="2:12" ht="11.25">
      <c r="B72" s="1" t="s">
        <v>15</v>
      </c>
      <c r="C72" s="21">
        <f t="shared" si="19"/>
        <v>0.19449069511932682</v>
      </c>
      <c r="D72" s="21">
        <f t="shared" si="19"/>
        <v>0.3090997311590804</v>
      </c>
      <c r="E72" s="21">
        <f t="shared" si="19"/>
        <v>0.3596413433177521</v>
      </c>
      <c r="F72" s="21">
        <f>(F14/J14)-1</f>
        <v>2.293661931898727</v>
      </c>
      <c r="G72" s="22">
        <f>(G14/K14)-1</f>
        <v>1.7046393079025082</v>
      </c>
      <c r="H72" s="23">
        <f>(H14/119620)-1</f>
        <v>2.600886139441565</v>
      </c>
      <c r="I72" s="23">
        <f>(I14/98165)-1</f>
        <v>3.5831100697804716</v>
      </c>
      <c r="J72" s="24">
        <f>(J14/102543)-1</f>
        <v>0.3758520815657822</v>
      </c>
      <c r="K72" s="21">
        <f>(K14/L14)-1</f>
        <v>0.5745128304071001</v>
      </c>
      <c r="L72" s="21">
        <f>(L14/73956)-1</f>
        <v>0.4016442208880957</v>
      </c>
    </row>
    <row r="73" spans="2:12" ht="11.25">
      <c r="B73" s="1" t="s">
        <v>16</v>
      </c>
      <c r="C73" s="21">
        <f t="shared" si="19"/>
        <v>-0.2077441433813153</v>
      </c>
      <c r="D73" s="21">
        <f t="shared" si="19"/>
        <v>-0.26457631428389805</v>
      </c>
      <c r="E73" s="21">
        <f t="shared" si="19"/>
        <v>-0.26508398265158817</v>
      </c>
      <c r="F73" s="21">
        <f>(F15/J15)-1</f>
        <v>-0.127443838280619</v>
      </c>
      <c r="G73" s="22">
        <f>(G15/K15)-1</f>
        <v>-0.17508010838278565</v>
      </c>
      <c r="H73" s="23">
        <f>(H15/366378)-1</f>
        <v>-0.14126939936349892</v>
      </c>
      <c r="I73" s="23">
        <f>(I15/97573)-1</f>
        <v>2.2869851290828405</v>
      </c>
      <c r="J73" s="24">
        <f>(J15/114782)-1</f>
        <v>1.6429666672474776</v>
      </c>
      <c r="K73" s="21">
        <f>(K15/L15)-1</f>
        <v>1.129975513746397</v>
      </c>
      <c r="L73" s="21">
        <f>(L15/314689)-1</f>
        <v>-0.4873827810949859</v>
      </c>
    </row>
    <row r="74" spans="1:12" ht="11.25">
      <c r="A74" s="1" t="s">
        <v>65</v>
      </c>
      <c r="C74" s="21">
        <f aca="true" t="shared" si="20" ref="C74:G75">(C17/G17)-1</f>
        <v>0.0233695789217101</v>
      </c>
      <c r="D74" s="21">
        <f t="shared" si="20"/>
        <v>0.0938481891847196</v>
      </c>
      <c r="E74" s="21">
        <f t="shared" si="20"/>
        <v>0.03855617991943139</v>
      </c>
      <c r="F74" s="21">
        <f t="shared" si="20"/>
        <v>0.6447400933467557</v>
      </c>
      <c r="G74" s="22">
        <f t="shared" si="20"/>
        <v>0.4392627003137275</v>
      </c>
      <c r="H74" s="23">
        <f>H17/472546-1</f>
        <v>0.5355965345172744</v>
      </c>
      <c r="I74" s="23">
        <f>I17/282557-1</f>
        <v>1.7585938412426518</v>
      </c>
      <c r="J74" s="24">
        <f>J17/180792-1</f>
        <v>1.417584848887119</v>
      </c>
      <c r="K74" s="21">
        <f>(K17/L17)-1</f>
        <v>1.1317550578314184</v>
      </c>
      <c r="L74" s="21">
        <f>L17/352569-1</f>
        <v>-0.34010363928762877</v>
      </c>
    </row>
    <row r="75" spans="2:12" ht="11.25">
      <c r="B75" s="1" t="s">
        <v>15</v>
      </c>
      <c r="C75" s="21">
        <f t="shared" si="20"/>
        <v>0.006722992759853996</v>
      </c>
      <c r="D75" s="21">
        <f t="shared" si="20"/>
        <v>0.09831586616600352</v>
      </c>
      <c r="E75" s="21">
        <f t="shared" si="20"/>
        <v>0.4105195359950877</v>
      </c>
      <c r="F75" s="21">
        <f t="shared" si="20"/>
        <v>15.500450811460627</v>
      </c>
      <c r="G75" s="22">
        <f t="shared" si="20"/>
        <v>10.479025855594893</v>
      </c>
      <c r="H75" s="23">
        <f>(H18/34549)-1</f>
        <v>7.263278242496165</v>
      </c>
      <c r="I75" s="23">
        <f>(I18/15260)-1</f>
        <v>18.63643512450852</v>
      </c>
      <c r="J75" s="24">
        <f>(J18/20648)-1</f>
        <v>-0.03312669507942656</v>
      </c>
      <c r="K75" s="21">
        <f>(K18/L18)-1</f>
        <v>0.5237031386224935</v>
      </c>
      <c r="L75" s="21">
        <f>(L18/18475)-1</f>
        <v>-0.006657645466847106</v>
      </c>
    </row>
    <row r="76" spans="2:12" ht="11.25">
      <c r="B76" s="1" t="s">
        <v>16</v>
      </c>
      <c r="C76" s="21">
        <f>(C22/G22)-1</f>
        <v>0.03697123045671846</v>
      </c>
      <c r="D76" s="21">
        <f>(D22/H22)-1</f>
        <v>0.09095039895308887</v>
      </c>
      <c r="E76" s="21">
        <f>(E22/I22)-1</f>
        <v>-0.1937441643323996</v>
      </c>
      <c r="F76" s="21">
        <f>(F22/J22)-1</f>
        <v>-0.06628371963674373</v>
      </c>
      <c r="G76" s="22">
        <f>(G22/K22)-1</f>
        <v>-0.16060161236215542</v>
      </c>
      <c r="H76" s="23">
        <f>(H22/437996)-1</f>
        <v>0.004922419382825449</v>
      </c>
      <c r="I76" s="23">
        <f>(I22/267298)-1</f>
        <v>0.7950302658456105</v>
      </c>
      <c r="J76" s="24">
        <f>(J22/160144)-1</f>
        <v>1.6046308322509741</v>
      </c>
      <c r="K76" s="21">
        <f>(K22/L22)-1</f>
        <v>1.1838250733760445</v>
      </c>
      <c r="L76" s="21">
        <f>(L22/334094)-1</f>
        <v>-0.35854280531826377</v>
      </c>
    </row>
    <row r="77" spans="1:12" ht="11.25">
      <c r="A77" s="1" t="s">
        <v>66</v>
      </c>
      <c r="C77" s="21">
        <f>(C25/G25)-1</f>
        <v>-0.1121432260859423</v>
      </c>
      <c r="D77" s="21">
        <f>(D25/H25)-1</f>
        <v>-0.05709684439608265</v>
      </c>
      <c r="E77" s="21">
        <f>(E25/I25)-1</f>
        <v>-0.04304294254552088</v>
      </c>
      <c r="F77" s="21">
        <f>(F25/J25)-1</f>
        <v>1.6274410986518837</v>
      </c>
      <c r="G77" s="22">
        <f>(G25/K25)-1</f>
        <v>1.6829835266769484</v>
      </c>
      <c r="H77" s="23">
        <f>(H25/57404)-1</f>
        <v>1.0011671660511463</v>
      </c>
      <c r="I77" s="23">
        <f>(I25/54996)-1</f>
        <v>0.9922357989671977</v>
      </c>
      <c r="J77" s="24">
        <f>(J25/53756)-1</f>
        <v>-0.11410819257385219</v>
      </c>
      <c r="K77" s="21">
        <f>(K25/L25)-1</f>
        <v>-0.13796026898398817</v>
      </c>
      <c r="L77" s="21">
        <f>(L25/44679)-1</f>
        <v>0.1615971709304147</v>
      </c>
    </row>
    <row r="78" spans="1:12" ht="11.25">
      <c r="A78" s="2" t="s">
        <v>67</v>
      </c>
      <c r="B78" s="2"/>
      <c r="C78" s="25">
        <f>(C40/G40)-1</f>
        <v>-0.3613217468312393</v>
      </c>
      <c r="D78" s="25">
        <f>(D40/H40)-1</f>
        <v>0.028655514250309766</v>
      </c>
      <c r="E78" s="25">
        <f>(E40/I40)-1</f>
        <v>0.29144736842105257</v>
      </c>
      <c r="F78" s="25">
        <f>(F40/J40)-1</f>
        <v>0.7683223341437999</v>
      </c>
      <c r="G78" s="26">
        <f>(G40/K40)-1</f>
        <v>3.634940995382247</v>
      </c>
      <c r="H78" s="25">
        <f>(H40/1481)-1</f>
        <v>7.718433490884538</v>
      </c>
      <c r="I78" s="25">
        <f>(I40/3113)-1</f>
        <v>1.4413748795374235</v>
      </c>
      <c r="J78" s="27">
        <f>(J40/1856)-1</f>
        <v>0.5511853448275863</v>
      </c>
      <c r="K78" s="25">
        <f>(K40/L40)-1</f>
        <v>-0.4601108033240997</v>
      </c>
      <c r="L78" s="25">
        <f>(L40/10129)-1</f>
        <v>-0.28719518215026163</v>
      </c>
    </row>
    <row r="80" ht="11.25">
      <c r="A80" s="1" t="s">
        <v>68</v>
      </c>
    </row>
    <row r="81" ht="11.25">
      <c r="A81" s="1" t="s">
        <v>69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5573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2002-03-22T20:00:13Z</cp:lastPrinted>
  <dcterms:created xsi:type="dcterms:W3CDTF">2002-03-19T20:51:55Z</dcterms:created>
  <dcterms:modified xsi:type="dcterms:W3CDTF">2002-03-20T23:12:35Z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