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Leumi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<sst xmlns="http://schemas.openxmlformats.org/spreadsheetml/2006/main" count="84" uniqueCount="68">
  <si>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18-44</t>
  </si>
  <si>
    <t>BANK LEUMI-LE ISRAEL, B.M.</t>
  </si>
  <si>
    <t>ESTADISTICA FINANCIERA. AÑO 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</si>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</sst>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1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1" xfId="0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"/>
    </sheetView>
  </sheetViews>
  <sheetFormatPr defaultColWidth="11.421875" defaultRowHeight="12.75"/>
  <cols>
    <col min="1" max="1" width="1.7109375" style="1" customWidth="1"/>
    <col min="2" max="2" width="38.421875" style="1" customWidth="1"/>
    <col min="3" max="3" width="8.8515625" style="1" customWidth="1"/>
    <col min="4" max="4" width="10.421875" style="1" customWidth="1"/>
    <col min="5" max="5" width="8.00390625" style="1" bestFit="1" customWidth="1"/>
    <col min="6" max="6" width="7.140625" style="1" bestFit="1" customWidth="1"/>
    <col min="7" max="7" width="9.28125" style="1" customWidth="1"/>
    <col min="8" max="8" width="10.421875" style="1" customWidth="1"/>
    <col min="9" max="9" width="7.140625" style="1" bestFit="1" customWidth="1"/>
    <col min="10" max="10" width="6.8515625" style="1" bestFit="1" customWidth="1"/>
    <col min="11" max="11" width="7.140625" style="1" bestFit="1" customWidth="1"/>
    <col min="12" max="12" width="5.8515625" style="1" hidden="1" customWidth="1"/>
    <col min="13" max="16384" width="11.421875" style="1" customWidth="1"/>
  </cols>
  <sheetData>
    <row r="1" ht="11.25"/>
    <row r="2" spans="2:12" ht="11.25">
      <c r="B2" s="40"/>
      <c r="C2" s="40"/>
      <c r="D2" s="40"/>
      <c r="F2" s="40" t="s">
        <v>0</v>
      </c>
      <c r="H2" s="40"/>
      <c r="I2" s="40"/>
      <c r="J2" s="40"/>
      <c r="K2" s="40"/>
      <c r="L2" s="40"/>
    </row>
    <row r="3" spans="2:12" ht="11.25">
      <c r="B3" s="40"/>
      <c r="C3" s="40"/>
      <c r="D3" s="40"/>
      <c r="E3" s="40"/>
      <c r="F3" s="40" t="s">
        <v>1</v>
      </c>
      <c r="H3" s="40"/>
      <c r="I3" s="40"/>
      <c r="J3" s="40"/>
      <c r="K3" s="40"/>
      <c r="L3" s="40"/>
    </row>
    <row r="4" spans="2:12" ht="11.25">
      <c r="B4" s="40"/>
      <c r="C4" s="40"/>
      <c r="D4" s="40"/>
      <c r="F4" s="40" t="s">
        <v>2</v>
      </c>
      <c r="H4" s="40"/>
      <c r="I4" s="40"/>
      <c r="J4" s="40"/>
      <c r="K4" s="40"/>
      <c r="L4" s="40"/>
    </row>
    <row r="5" spans="2:12" ht="11.25">
      <c r="B5" s="39"/>
      <c r="C5" s="39"/>
      <c r="D5" s="39"/>
      <c r="E5" s="39"/>
      <c r="F5" s="39" t="s">
        <v>3</v>
      </c>
      <c r="H5" s="39"/>
      <c r="I5" s="39"/>
      <c r="J5" s="39"/>
      <c r="K5" s="39"/>
      <c r="L5" s="39"/>
    </row>
    <row r="6" spans="1:12" ht="11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1.25">
      <c r="A7" s="3"/>
      <c r="B7" s="3"/>
      <c r="C7" s="47">
        <v>2001</v>
      </c>
      <c r="D7" s="47"/>
      <c r="E7" s="47"/>
      <c r="F7" s="48"/>
      <c r="G7" s="46">
        <v>2000</v>
      </c>
      <c r="H7" s="47"/>
      <c r="I7" s="47"/>
      <c r="J7" s="48"/>
      <c r="K7" s="47" t="s">
        <v>4</v>
      </c>
      <c r="L7" s="47"/>
    </row>
    <row r="8" spans="1:12" s="4" customFormat="1" ht="11.25">
      <c r="A8" s="41"/>
      <c r="B8" s="41"/>
      <c r="C8" s="42" t="s">
        <v>5</v>
      </c>
      <c r="D8" s="41" t="s">
        <v>6</v>
      </c>
      <c r="E8" s="41" t="s">
        <v>7</v>
      </c>
      <c r="F8" s="41" t="s">
        <v>8</v>
      </c>
      <c r="G8" s="43" t="s">
        <v>5</v>
      </c>
      <c r="H8" s="41" t="s">
        <v>6</v>
      </c>
      <c r="I8" s="41" t="s">
        <v>7</v>
      </c>
      <c r="J8" s="44" t="s">
        <v>8</v>
      </c>
      <c r="K8" s="45" t="s">
        <v>9</v>
      </c>
      <c r="L8" s="45" t="s">
        <v>10</v>
      </c>
    </row>
    <row r="9" spans="1:12" ht="11.25">
      <c r="A9" s="4" t="s">
        <v>11</v>
      </c>
      <c r="B9" s="4"/>
      <c r="C9" s="4"/>
      <c r="D9" s="4"/>
      <c r="E9" s="4"/>
      <c r="F9" s="5"/>
      <c r="G9" s="6"/>
      <c r="H9" s="7"/>
      <c r="I9" s="7"/>
      <c r="J9" s="8"/>
      <c r="K9" s="5"/>
      <c r="L9" s="5"/>
    </row>
    <row r="10" spans="1:12" ht="11.25">
      <c r="A10" s="1" t="s">
        <v>12</v>
      </c>
      <c r="C10" s="9">
        <v>91933</v>
      </c>
      <c r="D10" s="9">
        <v>99589</v>
      </c>
      <c r="E10" s="9">
        <v>84628</v>
      </c>
      <c r="F10" s="9">
        <v>77986</v>
      </c>
      <c r="G10" s="10">
        <v>79617</v>
      </c>
      <c r="H10" s="11">
        <v>83701</v>
      </c>
      <c r="I10" s="11">
        <v>72596</v>
      </c>
      <c r="J10" s="12">
        <v>68594</v>
      </c>
      <c r="K10" s="9">
        <v>69162</v>
      </c>
      <c r="L10" s="9">
        <v>64132</v>
      </c>
    </row>
    <row r="11" spans="1:12" ht="11.25">
      <c r="A11" s="1" t="s">
        <v>13</v>
      </c>
      <c r="C11" s="9">
        <v>15697</v>
      </c>
      <c r="D11" s="9">
        <v>5701</v>
      </c>
      <c r="E11" s="9">
        <v>5162</v>
      </c>
      <c r="F11" s="9">
        <v>4749</v>
      </c>
      <c r="G11" s="10">
        <v>12115</v>
      </c>
      <c r="H11" s="11">
        <v>4975</v>
      </c>
      <c r="I11" s="11">
        <v>4951</v>
      </c>
      <c r="J11" s="12">
        <v>5470</v>
      </c>
      <c r="K11" s="9">
        <v>7684</v>
      </c>
      <c r="L11" s="9">
        <v>8385</v>
      </c>
    </row>
    <row r="12" spans="1:12" ht="11.25">
      <c r="A12" s="1" t="s">
        <v>14</v>
      </c>
      <c r="C12" s="9">
        <f aca="true" t="shared" si="0" ref="C12:L12">C13+C14</f>
        <v>74175</v>
      </c>
      <c r="D12" s="9">
        <f t="shared" si="0"/>
        <v>91969</v>
      </c>
      <c r="E12" s="9">
        <f t="shared" si="0"/>
        <v>76682</v>
      </c>
      <c r="F12" s="9">
        <f t="shared" si="0"/>
        <v>71340</v>
      </c>
      <c r="G12" s="10">
        <f t="shared" si="0"/>
        <v>65568</v>
      </c>
      <c r="H12" s="11">
        <f t="shared" si="0"/>
        <v>76243</v>
      </c>
      <c r="I12" s="11">
        <f t="shared" si="0"/>
        <v>64698</v>
      </c>
      <c r="J12" s="12">
        <f t="shared" si="0"/>
        <v>61505</v>
      </c>
      <c r="K12" s="9">
        <f t="shared" si="0"/>
        <v>60181</v>
      </c>
      <c r="L12" s="9">
        <f t="shared" si="0"/>
        <v>54051</v>
      </c>
    </row>
    <row r="13" spans="2:12" ht="11.25">
      <c r="B13" s="1" t="s">
        <v>15</v>
      </c>
      <c r="C13" s="9">
        <v>74173</v>
      </c>
      <c r="D13" s="9">
        <v>90207</v>
      </c>
      <c r="E13" s="9">
        <v>75078</v>
      </c>
      <c r="F13" s="9">
        <v>69706</v>
      </c>
      <c r="G13" s="10">
        <v>64062</v>
      </c>
      <c r="H13" s="11">
        <v>74743</v>
      </c>
      <c r="I13" s="11">
        <v>63198</v>
      </c>
      <c r="J13" s="12">
        <v>59985</v>
      </c>
      <c r="K13" s="9">
        <v>56682</v>
      </c>
      <c r="L13" s="9">
        <v>51317</v>
      </c>
    </row>
    <row r="14" spans="2:12" ht="11.25">
      <c r="B14" s="1" t="s">
        <v>16</v>
      </c>
      <c r="C14" s="9">
        <v>2</v>
      </c>
      <c r="D14" s="9">
        <v>1762</v>
      </c>
      <c r="E14" s="9">
        <v>1604</v>
      </c>
      <c r="F14" s="9">
        <v>1634</v>
      </c>
      <c r="G14" s="10">
        <v>1506</v>
      </c>
      <c r="H14" s="11">
        <v>1500</v>
      </c>
      <c r="I14" s="11">
        <v>1500</v>
      </c>
      <c r="J14" s="12">
        <v>1520</v>
      </c>
      <c r="K14" s="9">
        <v>3499</v>
      </c>
      <c r="L14" s="9">
        <v>2734</v>
      </c>
    </row>
    <row r="15" spans="1:12" ht="11.25">
      <c r="A15" s="1" t="s">
        <v>17</v>
      </c>
      <c r="C15" s="9">
        <v>0</v>
      </c>
      <c r="D15" s="9">
        <v>0</v>
      </c>
      <c r="E15" s="9">
        <v>0</v>
      </c>
      <c r="F15" s="9">
        <v>0</v>
      </c>
      <c r="G15" s="10">
        <v>0</v>
      </c>
      <c r="H15" s="11">
        <v>195</v>
      </c>
      <c r="I15" s="11">
        <v>194</v>
      </c>
      <c r="J15" s="12">
        <v>192</v>
      </c>
      <c r="K15" s="9">
        <v>190</v>
      </c>
      <c r="L15" s="9">
        <v>185</v>
      </c>
    </row>
    <row r="16" spans="1:12" ht="11.25">
      <c r="A16" s="1" t="s">
        <v>18</v>
      </c>
      <c r="C16" s="9">
        <f aca="true" t="shared" si="1" ref="C16:L16">C17+C21</f>
        <v>77702</v>
      </c>
      <c r="D16" s="9">
        <f t="shared" si="1"/>
        <v>88736</v>
      </c>
      <c r="E16" s="9">
        <f t="shared" si="1"/>
        <v>72348</v>
      </c>
      <c r="F16" s="9">
        <f t="shared" si="1"/>
        <v>68612</v>
      </c>
      <c r="G16" s="10">
        <f t="shared" si="1"/>
        <v>70052</v>
      </c>
      <c r="H16" s="11">
        <f t="shared" si="1"/>
        <v>73531</v>
      </c>
      <c r="I16" s="11">
        <f t="shared" si="1"/>
        <v>61794</v>
      </c>
      <c r="J16" s="12">
        <f t="shared" si="1"/>
        <v>59111</v>
      </c>
      <c r="K16" s="9">
        <f t="shared" si="1"/>
        <v>60030</v>
      </c>
      <c r="L16" s="9">
        <f t="shared" si="1"/>
        <v>54297</v>
      </c>
    </row>
    <row r="17" spans="2:12" ht="11.25">
      <c r="B17" s="1" t="s">
        <v>15</v>
      </c>
      <c r="C17" s="9">
        <f aca="true" t="shared" si="2" ref="C17:L17">SUM(C18:C20)</f>
        <v>66050</v>
      </c>
      <c r="D17" s="9">
        <f t="shared" si="2"/>
        <v>74748</v>
      </c>
      <c r="E17" s="9">
        <f t="shared" si="2"/>
        <v>60284</v>
      </c>
      <c r="F17" s="9">
        <f t="shared" si="2"/>
        <v>60128</v>
      </c>
      <c r="G17" s="10">
        <f t="shared" si="2"/>
        <v>66231</v>
      </c>
      <c r="H17" s="11">
        <f t="shared" si="2"/>
        <v>58125</v>
      </c>
      <c r="I17" s="11">
        <f t="shared" si="2"/>
        <v>52447</v>
      </c>
      <c r="J17" s="12">
        <f t="shared" si="2"/>
        <v>55802</v>
      </c>
      <c r="K17" s="9">
        <f t="shared" si="2"/>
        <v>56991</v>
      </c>
      <c r="L17" s="9">
        <f t="shared" si="2"/>
        <v>53275</v>
      </c>
    </row>
    <row r="18" spans="2:12" ht="11.25">
      <c r="B18" s="1" t="s">
        <v>19</v>
      </c>
      <c r="C18" s="9">
        <v>0</v>
      </c>
      <c r="D18" s="9">
        <v>0</v>
      </c>
      <c r="E18" s="9">
        <v>0</v>
      </c>
      <c r="F18" s="9">
        <v>0</v>
      </c>
      <c r="G18" s="10">
        <v>0</v>
      </c>
      <c r="H18" s="11">
        <v>0</v>
      </c>
      <c r="I18" s="11">
        <v>0</v>
      </c>
      <c r="J18" s="12">
        <v>0</v>
      </c>
      <c r="K18" s="9">
        <v>0</v>
      </c>
      <c r="L18" s="9">
        <v>0</v>
      </c>
    </row>
    <row r="19" spans="2:12" ht="11.25">
      <c r="B19" s="1" t="s">
        <v>20</v>
      </c>
      <c r="C19" s="9">
        <f>57281+8769</f>
        <v>66050</v>
      </c>
      <c r="D19" s="9">
        <v>74748</v>
      </c>
      <c r="E19" s="9">
        <v>60284</v>
      </c>
      <c r="F19" s="9">
        <v>60128</v>
      </c>
      <c r="G19" s="10">
        <v>61231</v>
      </c>
      <c r="H19" s="11">
        <v>53125</v>
      </c>
      <c r="I19" s="11">
        <v>52447</v>
      </c>
      <c r="J19" s="12">
        <v>55802</v>
      </c>
      <c r="K19" s="9">
        <v>56991</v>
      </c>
      <c r="L19" s="9">
        <v>53275</v>
      </c>
    </row>
    <row r="20" spans="2:12" ht="11.25">
      <c r="B20" s="1" t="s">
        <v>21</v>
      </c>
      <c r="C20" s="9">
        <v>0</v>
      </c>
      <c r="D20" s="9">
        <v>0</v>
      </c>
      <c r="E20" s="9">
        <v>0</v>
      </c>
      <c r="F20" s="9">
        <v>0</v>
      </c>
      <c r="G20" s="10">
        <v>5000</v>
      </c>
      <c r="H20" s="11">
        <v>5000</v>
      </c>
      <c r="I20" s="11">
        <v>0</v>
      </c>
      <c r="J20" s="12">
        <v>0</v>
      </c>
      <c r="K20" s="9">
        <v>0</v>
      </c>
      <c r="L20" s="9">
        <v>0</v>
      </c>
    </row>
    <row r="21" spans="2:12" ht="11.25">
      <c r="B21" s="1" t="s">
        <v>16</v>
      </c>
      <c r="C21" s="9">
        <f aca="true" t="shared" si="3" ref="C21:L21">SUM(C22:C23)</f>
        <v>11652</v>
      </c>
      <c r="D21" s="9">
        <f t="shared" si="3"/>
        <v>13988</v>
      </c>
      <c r="E21" s="9">
        <f t="shared" si="3"/>
        <v>12064</v>
      </c>
      <c r="F21" s="9">
        <f t="shared" si="3"/>
        <v>8484</v>
      </c>
      <c r="G21" s="10">
        <f t="shared" si="3"/>
        <v>3821</v>
      </c>
      <c r="H21" s="11">
        <f t="shared" si="3"/>
        <v>15406</v>
      </c>
      <c r="I21" s="11">
        <f t="shared" si="3"/>
        <v>9347</v>
      </c>
      <c r="J21" s="12">
        <f t="shared" si="3"/>
        <v>3309</v>
      </c>
      <c r="K21" s="9">
        <f t="shared" si="3"/>
        <v>3039</v>
      </c>
      <c r="L21" s="9">
        <f t="shared" si="3"/>
        <v>1022</v>
      </c>
    </row>
    <row r="22" spans="2:12" ht="11.25">
      <c r="B22" s="1" t="s">
        <v>20</v>
      </c>
      <c r="C22" s="9">
        <f>338+1314</f>
        <v>1652</v>
      </c>
      <c r="D22" s="9">
        <v>3488</v>
      </c>
      <c r="E22" s="9">
        <v>4064</v>
      </c>
      <c r="F22" s="9">
        <v>3984</v>
      </c>
      <c r="G22" s="10">
        <v>3821</v>
      </c>
      <c r="H22" s="11">
        <v>3406</v>
      </c>
      <c r="I22" s="11">
        <v>3347</v>
      </c>
      <c r="J22" s="12">
        <v>2809</v>
      </c>
      <c r="K22" s="9">
        <v>1539</v>
      </c>
      <c r="L22" s="9">
        <v>1022</v>
      </c>
    </row>
    <row r="23" spans="2:12" ht="11.25">
      <c r="B23" s="1" t="s">
        <v>21</v>
      </c>
      <c r="C23" s="9">
        <v>10000</v>
      </c>
      <c r="D23" s="9">
        <v>10500</v>
      </c>
      <c r="E23" s="9">
        <v>8000</v>
      </c>
      <c r="F23" s="9">
        <v>4500</v>
      </c>
      <c r="G23" s="10">
        <v>0</v>
      </c>
      <c r="H23" s="11">
        <v>12000</v>
      </c>
      <c r="I23" s="11">
        <v>6000</v>
      </c>
      <c r="J23" s="12">
        <v>500</v>
      </c>
      <c r="K23" s="9">
        <v>1500</v>
      </c>
      <c r="L23" s="9">
        <v>0</v>
      </c>
    </row>
    <row r="24" spans="1:12" ht="11.25">
      <c r="A24" s="2" t="s">
        <v>22</v>
      </c>
      <c r="B24" s="2"/>
      <c r="C24" s="13">
        <v>7076</v>
      </c>
      <c r="D24" s="13">
        <v>6947</v>
      </c>
      <c r="E24" s="13">
        <v>6743</v>
      </c>
      <c r="F24" s="13">
        <v>5793</v>
      </c>
      <c r="G24" s="14">
        <v>5550</v>
      </c>
      <c r="H24" s="13">
        <v>5864</v>
      </c>
      <c r="I24" s="13">
        <v>5603</v>
      </c>
      <c r="J24" s="15">
        <v>5396</v>
      </c>
      <c r="K24" s="13">
        <v>5282</v>
      </c>
      <c r="L24" s="13">
        <v>4912</v>
      </c>
    </row>
    <row r="25" spans="1:12" ht="11.25">
      <c r="A25" s="4" t="s">
        <v>23</v>
      </c>
      <c r="D25" s="9"/>
      <c r="F25" s="9"/>
      <c r="G25" s="10"/>
      <c r="H25" s="11"/>
      <c r="I25" s="11"/>
      <c r="J25" s="12"/>
      <c r="K25" s="9"/>
      <c r="L25" s="9"/>
    </row>
    <row r="26" spans="1:12" ht="11.25">
      <c r="A26" s="1" t="s">
        <v>12</v>
      </c>
      <c r="C26" s="9">
        <f>(C10+G10)/2</f>
        <v>85775</v>
      </c>
      <c r="D26" s="9">
        <f>(D10+H10)/2</f>
        <v>91645</v>
      </c>
      <c r="E26" s="9">
        <f>(E10+I10)/2</f>
        <v>78612</v>
      </c>
      <c r="F26" s="9">
        <f>(F10+J10)/2</f>
        <v>73290</v>
      </c>
      <c r="G26" s="10">
        <f>(G10+69162)/2</f>
        <v>74389.5</v>
      </c>
      <c r="H26" s="11">
        <f>(H10+69145)/2</f>
        <v>76423</v>
      </c>
      <c r="I26" s="11">
        <f>(I10+68907)/2</f>
        <v>70751.5</v>
      </c>
      <c r="J26" s="12">
        <f>(J10+62179)/2</f>
        <v>65386.5</v>
      </c>
      <c r="K26" s="9">
        <f>(K10+L10)/2</f>
        <v>66647</v>
      </c>
      <c r="L26" s="9">
        <f>(L10+70289)/2</f>
        <v>67210.5</v>
      </c>
    </row>
    <row r="27" spans="1:12" ht="11.25">
      <c r="A27" s="1" t="s">
        <v>24</v>
      </c>
      <c r="C27" s="9">
        <f aca="true" t="shared" si="4" ref="C27:L27">C28+C29</f>
        <v>69871.5</v>
      </c>
      <c r="D27" s="9">
        <f t="shared" si="4"/>
        <v>84203.5</v>
      </c>
      <c r="E27" s="9">
        <f t="shared" si="4"/>
        <v>70787</v>
      </c>
      <c r="F27" s="9">
        <f t="shared" si="4"/>
        <v>66518.5</v>
      </c>
      <c r="G27" s="10">
        <f t="shared" si="4"/>
        <v>64624</v>
      </c>
      <c r="H27" s="11">
        <f t="shared" si="4"/>
        <v>69696</v>
      </c>
      <c r="I27" s="11">
        <f t="shared" si="4"/>
        <v>64391</v>
      </c>
      <c r="J27" s="12">
        <f t="shared" si="4"/>
        <v>58801.5</v>
      </c>
      <c r="K27" s="9">
        <f t="shared" si="4"/>
        <v>57303.5</v>
      </c>
      <c r="L27" s="9">
        <f t="shared" si="4"/>
        <v>48991.5</v>
      </c>
    </row>
    <row r="28" spans="2:12" ht="11.25">
      <c r="B28" s="1" t="s">
        <v>14</v>
      </c>
      <c r="C28" s="9">
        <f>(C12+G12)/2</f>
        <v>69871.5</v>
      </c>
      <c r="D28" s="9">
        <f>(D12+H12)/2</f>
        <v>84106</v>
      </c>
      <c r="E28" s="9">
        <f>(E12+I12)/2</f>
        <v>70690</v>
      </c>
      <c r="F28" s="9">
        <f>(F12+J12)/2</f>
        <v>66422.5</v>
      </c>
      <c r="G28" s="10">
        <f>(G12+K12)/2</f>
        <v>62874.5</v>
      </c>
      <c r="H28" s="11">
        <f>(H12+62765)/2</f>
        <v>69504</v>
      </c>
      <c r="I28" s="11">
        <f>(I12+63702)/2</f>
        <v>64200</v>
      </c>
      <c r="J28" s="12">
        <f>(J12+55720)/2</f>
        <v>58612.5</v>
      </c>
      <c r="K28" s="9">
        <f>(K12+L12)/2</f>
        <v>57116</v>
      </c>
      <c r="L28" s="9">
        <f>(L12+43545)/2</f>
        <v>48798</v>
      </c>
    </row>
    <row r="29" spans="2:12" ht="11.25">
      <c r="B29" s="1" t="s">
        <v>17</v>
      </c>
      <c r="C29" s="9">
        <f>(C15+G15)/2</f>
        <v>0</v>
      </c>
      <c r="D29" s="9">
        <f>(D15+H15)/2</f>
        <v>97.5</v>
      </c>
      <c r="E29" s="9">
        <f>(E15+I15)/2</f>
        <v>97</v>
      </c>
      <c r="F29" s="9">
        <f>(F15+J15)/2</f>
        <v>96</v>
      </c>
      <c r="G29" s="10">
        <f>(G15+K14)/2</f>
        <v>1749.5</v>
      </c>
      <c r="H29" s="11">
        <f>(H15+189)/2</f>
        <v>192</v>
      </c>
      <c r="I29" s="11">
        <f>(I15+188)/2</f>
        <v>191</v>
      </c>
      <c r="J29" s="12">
        <f>(J15+186)/2</f>
        <v>189</v>
      </c>
      <c r="K29" s="9">
        <f>(K15+L15)/2</f>
        <v>187.5</v>
      </c>
      <c r="L29" s="9">
        <f>(L15+202)/2</f>
        <v>193.5</v>
      </c>
    </row>
    <row r="30" spans="1:12" ht="11.25">
      <c r="A30" s="2" t="s">
        <v>22</v>
      </c>
      <c r="B30" s="2"/>
      <c r="C30" s="13">
        <f>(C24+G24)/2</f>
        <v>6313</v>
      </c>
      <c r="D30" s="13">
        <f>(D24+H24)/2</f>
        <v>6405.5</v>
      </c>
      <c r="E30" s="13">
        <f>(E24+I24)/2</f>
        <v>6173</v>
      </c>
      <c r="F30" s="13">
        <f>(F24+J24)/2</f>
        <v>5594.5</v>
      </c>
      <c r="G30" s="14">
        <f>(G24+K24)/2</f>
        <v>5416</v>
      </c>
      <c r="H30" s="13">
        <f>(H24+5332)/2</f>
        <v>5598</v>
      </c>
      <c r="I30" s="13">
        <f>(I24+5213)/2</f>
        <v>5408</v>
      </c>
      <c r="J30" s="15">
        <f>(J24+5088)/2</f>
        <v>5242</v>
      </c>
      <c r="K30" s="13">
        <f>(K24+L24)/2</f>
        <v>5097</v>
      </c>
      <c r="L30" s="13">
        <f>(L24+4474)/2</f>
        <v>4693</v>
      </c>
    </row>
    <row r="31" spans="1:10" ht="11.25">
      <c r="A31" s="4" t="s">
        <v>25</v>
      </c>
      <c r="D31" s="9"/>
      <c r="F31" s="9"/>
      <c r="G31" s="16"/>
      <c r="H31" s="17"/>
      <c r="I31" s="17"/>
      <c r="J31" s="18"/>
    </row>
    <row r="32" spans="1:12" ht="11.25">
      <c r="A32" s="1" t="s">
        <v>26</v>
      </c>
      <c r="C32" s="19">
        <v>7211</v>
      </c>
      <c r="D32" s="9">
        <f>E32+1906</f>
        <v>5340</v>
      </c>
      <c r="E32" s="9">
        <f>F32+1719</f>
        <v>3434</v>
      </c>
      <c r="F32" s="9">
        <v>1715</v>
      </c>
      <c r="G32" s="10">
        <f>1932+H32</f>
        <v>6899</v>
      </c>
      <c r="H32" s="11">
        <f>1844+I32</f>
        <v>4967</v>
      </c>
      <c r="I32" s="11">
        <f>1662+J32</f>
        <v>3123</v>
      </c>
      <c r="J32" s="12">
        <v>1461</v>
      </c>
      <c r="K32" s="9">
        <v>5795</v>
      </c>
      <c r="L32" s="9">
        <v>5821</v>
      </c>
    </row>
    <row r="33" spans="1:12" ht="11.25">
      <c r="A33" s="1" t="s">
        <v>27</v>
      </c>
      <c r="C33" s="19">
        <v>5221</v>
      </c>
      <c r="D33" s="9">
        <f>E33+1357</f>
        <v>3816</v>
      </c>
      <c r="E33" s="9">
        <f>F33+1221</f>
        <v>2459</v>
      </c>
      <c r="F33" s="9">
        <v>1238</v>
      </c>
      <c r="G33" s="10">
        <f>1404+H33</f>
        <v>4896</v>
      </c>
      <c r="H33" s="11">
        <f>1358+I33</f>
        <v>3492</v>
      </c>
      <c r="I33" s="11">
        <f>1088+J33</f>
        <v>2134</v>
      </c>
      <c r="J33" s="12">
        <v>1046</v>
      </c>
      <c r="K33" s="9">
        <v>4048</v>
      </c>
      <c r="L33" s="9">
        <v>3808</v>
      </c>
    </row>
    <row r="34" spans="1:12" ht="11.25">
      <c r="A34" s="1" t="s">
        <v>28</v>
      </c>
      <c r="C34" s="9">
        <f aca="true" t="shared" si="5" ref="C34:L34">C32-C33</f>
        <v>1990</v>
      </c>
      <c r="D34" s="9">
        <f t="shared" si="5"/>
        <v>1524</v>
      </c>
      <c r="E34" s="9">
        <f t="shared" si="5"/>
        <v>975</v>
      </c>
      <c r="F34" s="9">
        <f t="shared" si="5"/>
        <v>477</v>
      </c>
      <c r="G34" s="10">
        <f t="shared" si="5"/>
        <v>2003</v>
      </c>
      <c r="H34" s="11">
        <f t="shared" si="5"/>
        <v>1475</v>
      </c>
      <c r="I34" s="11">
        <f t="shared" si="5"/>
        <v>989</v>
      </c>
      <c r="J34" s="12">
        <f t="shared" si="5"/>
        <v>415</v>
      </c>
      <c r="K34" s="9">
        <f t="shared" si="5"/>
        <v>1747</v>
      </c>
      <c r="L34" s="9">
        <f t="shared" si="5"/>
        <v>2013</v>
      </c>
    </row>
    <row r="35" spans="1:12" ht="11.25">
      <c r="A35" s="1" t="s">
        <v>29</v>
      </c>
      <c r="C35" s="19">
        <v>820</v>
      </c>
      <c r="D35" s="9">
        <f>E35+205</f>
        <v>636</v>
      </c>
      <c r="E35" s="9">
        <f>F35+192</f>
        <v>431</v>
      </c>
      <c r="F35" s="9">
        <v>239</v>
      </c>
      <c r="G35" s="10">
        <f>187+H35</f>
        <v>867</v>
      </c>
      <c r="H35" s="11">
        <f>260+I35</f>
        <v>680</v>
      </c>
      <c r="I35" s="11">
        <f>202+J35</f>
        <v>420</v>
      </c>
      <c r="J35" s="12">
        <v>218</v>
      </c>
      <c r="K35" s="9">
        <v>840</v>
      </c>
      <c r="L35" s="9">
        <v>1002</v>
      </c>
    </row>
    <row r="36" spans="1:12" ht="11.25">
      <c r="A36" s="1" t="s">
        <v>30</v>
      </c>
      <c r="C36" s="9">
        <f aca="true" t="shared" si="6" ref="C36:L36">C34+C35</f>
        <v>2810</v>
      </c>
      <c r="D36" s="9">
        <f t="shared" si="6"/>
        <v>2160</v>
      </c>
      <c r="E36" s="9">
        <f t="shared" si="6"/>
        <v>1406</v>
      </c>
      <c r="F36" s="9">
        <f t="shared" si="6"/>
        <v>716</v>
      </c>
      <c r="G36" s="10">
        <f t="shared" si="6"/>
        <v>2870</v>
      </c>
      <c r="H36" s="11">
        <f t="shared" si="6"/>
        <v>2155</v>
      </c>
      <c r="I36" s="11">
        <f t="shared" si="6"/>
        <v>1409</v>
      </c>
      <c r="J36" s="12">
        <f t="shared" si="6"/>
        <v>633</v>
      </c>
      <c r="K36" s="9">
        <f t="shared" si="6"/>
        <v>2587</v>
      </c>
      <c r="L36" s="9">
        <f t="shared" si="6"/>
        <v>3015</v>
      </c>
    </row>
    <row r="37" spans="1:12" ht="11.25">
      <c r="A37" s="1" t="s">
        <v>31</v>
      </c>
      <c r="C37" s="19">
        <v>1944</v>
      </c>
      <c r="D37" s="9">
        <f>E37+490</f>
        <v>1483</v>
      </c>
      <c r="E37" s="9">
        <f>F37+519</f>
        <v>993</v>
      </c>
      <c r="F37" s="9">
        <v>474</v>
      </c>
      <c r="G37" s="10">
        <f>583+H37</f>
        <v>1912</v>
      </c>
      <c r="H37" s="11">
        <f>425+I37</f>
        <v>1329</v>
      </c>
      <c r="I37" s="11">
        <f>445+J37</f>
        <v>904</v>
      </c>
      <c r="J37" s="12">
        <v>459</v>
      </c>
      <c r="K37" s="9">
        <v>1880</v>
      </c>
      <c r="L37" s="9">
        <v>1980</v>
      </c>
    </row>
    <row r="38" spans="1:12" ht="11.25">
      <c r="A38" s="1" t="s">
        <v>32</v>
      </c>
      <c r="C38" s="9">
        <f aca="true" t="shared" si="7" ref="C38:L38">C36-C37</f>
        <v>866</v>
      </c>
      <c r="D38" s="9">
        <f t="shared" si="7"/>
        <v>677</v>
      </c>
      <c r="E38" s="9">
        <f t="shared" si="7"/>
        <v>413</v>
      </c>
      <c r="F38" s="9">
        <f t="shared" si="7"/>
        <v>242</v>
      </c>
      <c r="G38" s="10">
        <f t="shared" si="7"/>
        <v>958</v>
      </c>
      <c r="H38" s="11">
        <f t="shared" si="7"/>
        <v>826</v>
      </c>
      <c r="I38" s="11">
        <f t="shared" si="7"/>
        <v>505</v>
      </c>
      <c r="J38" s="12">
        <f t="shared" si="7"/>
        <v>174</v>
      </c>
      <c r="K38" s="9">
        <f t="shared" si="7"/>
        <v>707</v>
      </c>
      <c r="L38" s="9">
        <f t="shared" si="7"/>
        <v>1035</v>
      </c>
    </row>
    <row r="39" spans="1:12" ht="11.25">
      <c r="A39" s="2" t="s">
        <v>33</v>
      </c>
      <c r="B39" s="2"/>
      <c r="C39" s="20">
        <v>626</v>
      </c>
      <c r="D39" s="13">
        <f>E39+204</f>
        <v>497</v>
      </c>
      <c r="E39" s="13">
        <f>F39+51</f>
        <v>293</v>
      </c>
      <c r="F39" s="13">
        <v>242</v>
      </c>
      <c r="G39" s="14">
        <f>-316+H39</f>
        <v>266</v>
      </c>
      <c r="H39" s="13">
        <f>261+I39</f>
        <v>582</v>
      </c>
      <c r="I39" s="13">
        <f>207+J39</f>
        <v>321</v>
      </c>
      <c r="J39" s="15">
        <v>114</v>
      </c>
      <c r="K39" s="13">
        <v>368</v>
      </c>
      <c r="L39" s="13">
        <v>438</v>
      </c>
    </row>
    <row r="40" spans="1:12" ht="11.25">
      <c r="A40" s="4" t="s">
        <v>34</v>
      </c>
      <c r="D40" s="9"/>
      <c r="E40" s="9"/>
      <c r="G40" s="10"/>
      <c r="H40" s="11"/>
      <c r="I40" s="11"/>
      <c r="J40" s="12"/>
      <c r="K40" s="9"/>
      <c r="L40" s="9"/>
    </row>
    <row r="41" spans="1:12" ht="11.25">
      <c r="A41" s="1" t="s">
        <v>35</v>
      </c>
      <c r="C41" s="9">
        <v>185</v>
      </c>
      <c r="D41" s="9">
        <v>185</v>
      </c>
      <c r="E41" s="9">
        <v>185</v>
      </c>
      <c r="F41" s="9">
        <v>595</v>
      </c>
      <c r="G41" s="10">
        <v>0</v>
      </c>
      <c r="H41" s="11">
        <v>0</v>
      </c>
      <c r="I41" s="11">
        <v>0</v>
      </c>
      <c r="J41" s="12">
        <v>0</v>
      </c>
      <c r="K41" s="9">
        <v>0</v>
      </c>
      <c r="L41" s="9">
        <v>0</v>
      </c>
    </row>
    <row r="42" spans="1:12" ht="11.25">
      <c r="A42" s="1" t="s">
        <v>36</v>
      </c>
      <c r="C42" s="9">
        <v>2423</v>
      </c>
      <c r="D42" s="9">
        <v>2363</v>
      </c>
      <c r="E42" s="9">
        <v>2303</v>
      </c>
      <c r="F42" s="9">
        <v>2183</v>
      </c>
      <c r="G42" s="10">
        <v>2183</v>
      </c>
      <c r="H42" s="11">
        <v>1735</v>
      </c>
      <c r="I42" s="11">
        <v>1675</v>
      </c>
      <c r="J42" s="12">
        <v>1550</v>
      </c>
      <c r="K42" s="9">
        <v>1490</v>
      </c>
      <c r="L42" s="9">
        <v>1150</v>
      </c>
    </row>
    <row r="43" spans="1:12" ht="11.25">
      <c r="A43" s="1" t="s">
        <v>37</v>
      </c>
      <c r="C43" s="21">
        <f aca="true" t="shared" si="8" ref="C43:L43">C41/C12</f>
        <v>0.0024941017863161444</v>
      </c>
      <c r="D43" s="21">
        <f t="shared" si="8"/>
        <v>0.002011547369222238</v>
      </c>
      <c r="E43" s="21">
        <f t="shared" si="8"/>
        <v>0.0024125609660676562</v>
      </c>
      <c r="F43" s="21">
        <f t="shared" si="8"/>
        <v>0.008340342024109897</v>
      </c>
      <c r="G43" s="22">
        <f t="shared" si="8"/>
        <v>0</v>
      </c>
      <c r="H43" s="23">
        <f t="shared" si="8"/>
        <v>0</v>
      </c>
      <c r="I43" s="23">
        <f t="shared" si="8"/>
        <v>0</v>
      </c>
      <c r="J43" s="24">
        <f t="shared" si="8"/>
        <v>0</v>
      </c>
      <c r="K43" s="21">
        <f t="shared" si="8"/>
        <v>0</v>
      </c>
      <c r="L43" s="21">
        <f t="shared" si="8"/>
        <v>0</v>
      </c>
    </row>
    <row r="44" spans="1:12" ht="11.25">
      <c r="A44" s="1" t="s">
        <v>38</v>
      </c>
      <c r="C44" s="21">
        <f>C42/C41</f>
        <v>13.097297297297297</v>
      </c>
      <c r="D44" s="21">
        <f>D42/D41</f>
        <v>12.772972972972973</v>
      </c>
      <c r="E44" s="21">
        <f>E42/E41</f>
        <v>12.448648648648648</v>
      </c>
      <c r="F44" s="21">
        <f>F42/F41</f>
        <v>3.66890756302521</v>
      </c>
      <c r="G44" s="22">
        <v>0</v>
      </c>
      <c r="H44" s="23">
        <v>0</v>
      </c>
      <c r="I44" s="23">
        <v>0</v>
      </c>
      <c r="J44" s="24">
        <v>0</v>
      </c>
      <c r="K44" s="21">
        <v>0</v>
      </c>
      <c r="L44" s="21">
        <v>0</v>
      </c>
    </row>
    <row r="45" spans="1:12" ht="11.25">
      <c r="A45" s="2" t="s">
        <v>39</v>
      </c>
      <c r="B45" s="2"/>
      <c r="C45" s="25">
        <f aca="true" t="shared" si="9" ref="C45:L45">C42/C12</f>
        <v>0.0326659925851028</v>
      </c>
      <c r="D45" s="25">
        <f t="shared" si="9"/>
        <v>0.025693440180930532</v>
      </c>
      <c r="E45" s="25">
        <f t="shared" si="9"/>
        <v>0.030033123810020605</v>
      </c>
      <c r="F45" s="25">
        <f t="shared" si="9"/>
        <v>0.030599943930473786</v>
      </c>
      <c r="G45" s="26">
        <f t="shared" si="9"/>
        <v>0.03329367984382626</v>
      </c>
      <c r="H45" s="25">
        <f t="shared" si="9"/>
        <v>0.022756187453274398</v>
      </c>
      <c r="I45" s="25">
        <f t="shared" si="9"/>
        <v>0.025889517450307584</v>
      </c>
      <c r="J45" s="27">
        <f t="shared" si="9"/>
        <v>0.025201203154215104</v>
      </c>
      <c r="K45" s="25">
        <f t="shared" si="9"/>
        <v>0.024758644754989116</v>
      </c>
      <c r="L45" s="25">
        <f t="shared" si="9"/>
        <v>0.021276202105418956</v>
      </c>
    </row>
    <row r="46" spans="1:10" ht="11.25">
      <c r="A46" s="4" t="s">
        <v>40</v>
      </c>
      <c r="G46" s="16"/>
      <c r="H46" s="17"/>
      <c r="I46" s="17"/>
      <c r="J46" s="18"/>
    </row>
    <row r="47" spans="1:12" ht="11.25">
      <c r="A47" s="1" t="s">
        <v>41</v>
      </c>
      <c r="C47" s="21">
        <f aca="true" t="shared" si="10" ref="C47:L47">C24/(C12+C15)</f>
        <v>0.09539602291877317</v>
      </c>
      <c r="D47" s="21">
        <f t="shared" si="10"/>
        <v>0.07553632202155074</v>
      </c>
      <c r="E47" s="21">
        <f t="shared" si="10"/>
        <v>0.08793458699564435</v>
      </c>
      <c r="F47" s="21">
        <f t="shared" si="10"/>
        <v>0.0812026913372582</v>
      </c>
      <c r="G47" s="22">
        <f t="shared" si="10"/>
        <v>0.08464494875549049</v>
      </c>
      <c r="H47" s="23">
        <f t="shared" si="10"/>
        <v>0.0767157696433711</v>
      </c>
      <c r="I47" s="23">
        <f t="shared" si="10"/>
        <v>0.08634346298465143</v>
      </c>
      <c r="J47" s="24">
        <f t="shared" si="10"/>
        <v>0.08745968199426228</v>
      </c>
      <c r="K47" s="21">
        <f t="shared" si="10"/>
        <v>0.08749233903695483</v>
      </c>
      <c r="L47" s="21">
        <f t="shared" si="10"/>
        <v>0.09056715096983553</v>
      </c>
    </row>
    <row r="48" spans="1:12" ht="11.25">
      <c r="A48" s="2" t="s">
        <v>42</v>
      </c>
      <c r="B48" s="2"/>
      <c r="C48" s="25">
        <f>C24/C12</f>
        <v>0.09539602291877317</v>
      </c>
      <c r="D48" s="25">
        <f aca="true" t="shared" si="11" ref="D48:L48">D24/D10</f>
        <v>0.0697567000371527</v>
      </c>
      <c r="E48" s="25">
        <f t="shared" si="11"/>
        <v>0.07967812071654772</v>
      </c>
      <c r="F48" s="25">
        <f t="shared" si="11"/>
        <v>0.07428256353704511</v>
      </c>
      <c r="G48" s="26">
        <f t="shared" si="11"/>
        <v>0.06970873054749614</v>
      </c>
      <c r="H48" s="25">
        <f t="shared" si="11"/>
        <v>0.0700589001326149</v>
      </c>
      <c r="I48" s="25">
        <f t="shared" si="11"/>
        <v>0.07718056091244696</v>
      </c>
      <c r="J48" s="27">
        <f t="shared" si="11"/>
        <v>0.07866577251654663</v>
      </c>
      <c r="K48" s="25">
        <f t="shared" si="11"/>
        <v>0.07637141783060061</v>
      </c>
      <c r="L48" s="25">
        <f t="shared" si="11"/>
        <v>0.07659202894031061</v>
      </c>
    </row>
    <row r="49" spans="1:12" ht="11.25">
      <c r="A49" s="4" t="s">
        <v>43</v>
      </c>
      <c r="F49" s="28"/>
      <c r="G49" s="29"/>
      <c r="H49" s="30"/>
      <c r="I49" s="30"/>
      <c r="J49" s="31"/>
      <c r="K49" s="28"/>
      <c r="L49" s="28"/>
    </row>
    <row r="50" spans="1:12" ht="11.25">
      <c r="A50" s="1" t="s">
        <v>44</v>
      </c>
      <c r="C50" s="28">
        <f aca="true" t="shared" si="12" ref="C50:L50">C11/C16</f>
        <v>0.20201539213919847</v>
      </c>
      <c r="D50" s="28">
        <f t="shared" si="12"/>
        <v>0.06424675441759826</v>
      </c>
      <c r="E50" s="28">
        <f t="shared" si="12"/>
        <v>0.07134958810195167</v>
      </c>
      <c r="F50" s="28">
        <f t="shared" si="12"/>
        <v>0.06921529761557745</v>
      </c>
      <c r="G50" s="29">
        <f t="shared" si="12"/>
        <v>0.17294295666076628</v>
      </c>
      <c r="H50" s="30">
        <f t="shared" si="12"/>
        <v>0.06765853857556677</v>
      </c>
      <c r="I50" s="30">
        <f t="shared" si="12"/>
        <v>0.0801210473508755</v>
      </c>
      <c r="J50" s="31">
        <f t="shared" si="12"/>
        <v>0.0925377679281352</v>
      </c>
      <c r="K50" s="28">
        <f t="shared" si="12"/>
        <v>0.12800266533399968</v>
      </c>
      <c r="L50" s="28">
        <f t="shared" si="12"/>
        <v>0.15442842145974917</v>
      </c>
    </row>
    <row r="51" spans="1:12" ht="11.25">
      <c r="A51" s="1" t="s">
        <v>45</v>
      </c>
      <c r="C51" s="28">
        <f aca="true" t="shared" si="13" ref="C51:L51">C11/C10</f>
        <v>0.17074391132672706</v>
      </c>
      <c r="D51" s="28">
        <f t="shared" si="13"/>
        <v>0.05724527809296207</v>
      </c>
      <c r="E51" s="28">
        <f t="shared" si="13"/>
        <v>0.06099636054261001</v>
      </c>
      <c r="F51" s="28">
        <f t="shared" si="13"/>
        <v>0.06089554535429436</v>
      </c>
      <c r="G51" s="29">
        <f t="shared" si="13"/>
        <v>0.15216599469962444</v>
      </c>
      <c r="H51" s="30">
        <f t="shared" si="13"/>
        <v>0.05943776060023178</v>
      </c>
      <c r="I51" s="30">
        <f t="shared" si="13"/>
        <v>0.06819934982643672</v>
      </c>
      <c r="J51" s="31">
        <f t="shared" si="13"/>
        <v>0.07974458407440883</v>
      </c>
      <c r="K51" s="28">
        <f t="shared" si="13"/>
        <v>0.11110147190653827</v>
      </c>
      <c r="L51" s="28">
        <f t="shared" si="13"/>
        <v>0.1307459614545001</v>
      </c>
    </row>
    <row r="52" spans="1:12" ht="11.25">
      <c r="A52" s="2" t="s">
        <v>46</v>
      </c>
      <c r="B52" s="2"/>
      <c r="C52" s="32">
        <f aca="true" t="shared" si="14" ref="C52:L52">(C11+C15)/C16</f>
        <v>0.20201539213919847</v>
      </c>
      <c r="D52" s="32">
        <f t="shared" si="14"/>
        <v>0.06424675441759826</v>
      </c>
      <c r="E52" s="32">
        <f t="shared" si="14"/>
        <v>0.07134958810195167</v>
      </c>
      <c r="F52" s="32">
        <f t="shared" si="14"/>
        <v>0.06921529761557745</v>
      </c>
      <c r="G52" s="33">
        <f t="shared" si="14"/>
        <v>0.17294295666076628</v>
      </c>
      <c r="H52" s="32">
        <f t="shared" si="14"/>
        <v>0.07031048129360405</v>
      </c>
      <c r="I52" s="32">
        <f t="shared" si="14"/>
        <v>0.083260510729197</v>
      </c>
      <c r="J52" s="34">
        <f t="shared" si="14"/>
        <v>0.09578589433438785</v>
      </c>
      <c r="K52" s="32">
        <f t="shared" si="14"/>
        <v>0.13116774945860404</v>
      </c>
      <c r="L52" s="32">
        <f t="shared" si="14"/>
        <v>0.1578356078604711</v>
      </c>
    </row>
    <row r="53" spans="1:10" ht="11.25">
      <c r="A53" s="4" t="s">
        <v>47</v>
      </c>
      <c r="G53" s="16"/>
      <c r="H53" s="17"/>
      <c r="I53" s="17"/>
      <c r="J53" s="18"/>
    </row>
    <row r="54" spans="1:12" ht="11.25">
      <c r="A54" s="1" t="s">
        <v>48</v>
      </c>
      <c r="B54" s="17"/>
      <c r="C54" s="35">
        <f>C39/C27</f>
        <v>0.008959303864952091</v>
      </c>
      <c r="D54" s="35">
        <f>(D39/0.75)/D27</f>
        <v>0.00786982330504868</v>
      </c>
      <c r="E54" s="21">
        <f>(E39/0.5)/E27</f>
        <v>0.008278356195346602</v>
      </c>
      <c r="F54" s="21">
        <f>((F39)/0.25)/F27</f>
        <v>0.014552342581387132</v>
      </c>
      <c r="G54" s="36">
        <f>G39/G27</f>
        <v>0.004116117850953206</v>
      </c>
      <c r="H54" s="35">
        <f>(H39/0.75)/H27</f>
        <v>0.01113406795224977</v>
      </c>
      <c r="I54" s="35">
        <f>(I39/0.5)/I27</f>
        <v>0.009970337469522137</v>
      </c>
      <c r="J54" s="24">
        <f>((J39)/0.25)/J27</f>
        <v>0.007754904211627255</v>
      </c>
      <c r="K54" s="21">
        <f>K39/K27</f>
        <v>0.006421946303454414</v>
      </c>
      <c r="L54" s="21">
        <f>L39/L27</f>
        <v>0.008940326383148097</v>
      </c>
    </row>
    <row r="55" spans="1:12" ht="11.25">
      <c r="A55" s="1" t="s">
        <v>49</v>
      </c>
      <c r="B55" s="17"/>
      <c r="C55" s="35">
        <f>C39/C26</f>
        <v>0.007298163800641212</v>
      </c>
      <c r="D55" s="35">
        <f>(D39/0.75)/D26</f>
        <v>0.007230800007274447</v>
      </c>
      <c r="E55" s="21">
        <f>(E39/0.5)/E26</f>
        <v>0.007454332671856714</v>
      </c>
      <c r="F55" s="21">
        <f>((F39)/0.25)/F26</f>
        <v>0.013207804611816074</v>
      </c>
      <c r="G55" s="36">
        <f>G39/G26</f>
        <v>0.003575773462652659</v>
      </c>
      <c r="H55" s="35">
        <f>(H39/0.75)/H26</f>
        <v>0.01015401122698664</v>
      </c>
      <c r="I55" s="35">
        <f>(I39/0.5)/I26</f>
        <v>0.009074012565104627</v>
      </c>
      <c r="J55" s="24">
        <f>((J39)/0.25)/J26</f>
        <v>0.006973916634167603</v>
      </c>
      <c r="K55" s="21">
        <f>K39/K26</f>
        <v>0.005521628880519753</v>
      </c>
      <c r="L55" s="21">
        <f>L39/L26</f>
        <v>0.006516838886781083</v>
      </c>
    </row>
    <row r="56" spans="1:12" ht="11.25">
      <c r="A56" s="1" t="s">
        <v>50</v>
      </c>
      <c r="B56" s="17"/>
      <c r="C56" s="35">
        <f>+C39/C30</f>
        <v>0.09916046253762079</v>
      </c>
      <c r="D56" s="35">
        <f>(D39/0.75)/D30</f>
        <v>0.10345276194936642</v>
      </c>
      <c r="E56" s="21">
        <f>(E39/0.5)/E30</f>
        <v>0.09492953183217237</v>
      </c>
      <c r="F56" s="21">
        <f>((F39)/0.25)/F30</f>
        <v>0.17302708016802215</v>
      </c>
      <c r="G56" s="36">
        <f>+G39/G30</f>
        <v>0.04911373707533235</v>
      </c>
      <c r="H56" s="35">
        <f>(H39/0.75)/H30</f>
        <v>0.13862093604858877</v>
      </c>
      <c r="I56" s="35">
        <f>(I39/0.5)/I30</f>
        <v>0.11871301775147929</v>
      </c>
      <c r="J56" s="24">
        <f>((J39)/0.25)/J30</f>
        <v>0.08698969858832507</v>
      </c>
      <c r="K56" s="21">
        <f>K39/K30</f>
        <v>0.07219933294094566</v>
      </c>
      <c r="L56" s="21">
        <f>L39/L30</f>
        <v>0.09333049222245898</v>
      </c>
    </row>
    <row r="57" spans="1:12" ht="11.25">
      <c r="A57" s="1" t="s">
        <v>51</v>
      </c>
      <c r="B57" s="17"/>
      <c r="C57" s="35">
        <f>C32/C27</f>
        <v>0.10320373829100563</v>
      </c>
      <c r="D57" s="35">
        <f>(D32/0.75)/D27</f>
        <v>0.0845570552292957</v>
      </c>
      <c r="E57" s="21">
        <f>(E32/0.5)/E27</f>
        <v>0.09702346476047861</v>
      </c>
      <c r="F57" s="21">
        <f>((F32)/0.25)/F27</f>
        <v>0.10312920465735097</v>
      </c>
      <c r="G57" s="36">
        <f>G32/G27</f>
        <v>0.10675600396137658</v>
      </c>
      <c r="H57" s="35">
        <f>(H32/0.75)/H27</f>
        <v>0.09502219161310071</v>
      </c>
      <c r="I57" s="35">
        <f>(I32/0.5)/I27</f>
        <v>0.09700113369880883</v>
      </c>
      <c r="J57" s="24">
        <f>((J32)/0.25)/J27</f>
        <v>0.09938521976480191</v>
      </c>
      <c r="K57" s="21">
        <f>K32/K27</f>
        <v>0.10112820333836502</v>
      </c>
      <c r="L57" s="21">
        <f>L32/L26</f>
        <v>0.08660849123276869</v>
      </c>
    </row>
    <row r="58" spans="1:12" ht="11.25">
      <c r="A58" s="1" t="s">
        <v>52</v>
      </c>
      <c r="B58" s="17"/>
      <c r="C58" s="35">
        <f>C33/C27</f>
        <v>0.07472288415162119</v>
      </c>
      <c r="D58" s="35">
        <f>(D33/0.75)/D27</f>
        <v>0.060425041714418044</v>
      </c>
      <c r="E58" s="21">
        <f>(E33/0.5)/E27</f>
        <v>0.06947603373500784</v>
      </c>
      <c r="F58" s="21">
        <f>((F33)/0.25)/F27</f>
        <v>0.07444545502379038</v>
      </c>
      <c r="G58" s="36">
        <f>G33/G27</f>
        <v>0.07576132706115375</v>
      </c>
      <c r="H58" s="35">
        <f>(H33/0.75)/H27</f>
        <v>0.06680440771349862</v>
      </c>
      <c r="I58" s="35">
        <f>(I33/0.5)/I27</f>
        <v>0.06628255501545247</v>
      </c>
      <c r="J58" s="24">
        <f>((J33)/0.25)/J27</f>
        <v>0.07115464741545709</v>
      </c>
      <c r="K58" s="21">
        <f>K33/K27</f>
        <v>0.07064140933799855</v>
      </c>
      <c r="L58" s="21">
        <f>L33/L26</f>
        <v>0.05665781388324741</v>
      </c>
    </row>
    <row r="59" spans="1:12" ht="11.25">
      <c r="A59" s="1" t="s">
        <v>53</v>
      </c>
      <c r="B59" s="17"/>
      <c r="C59" s="35">
        <f>C34/C27</f>
        <v>0.02848085413938444</v>
      </c>
      <c r="D59" s="35">
        <f>(D34/0.75)/D27</f>
        <v>0.024132013514877648</v>
      </c>
      <c r="E59" s="21">
        <f>(E34/0.5)/E27</f>
        <v>0.02754743102547078</v>
      </c>
      <c r="F59" s="21">
        <f>((F34)/0.25)/F27</f>
        <v>0.028683749633560587</v>
      </c>
      <c r="G59" s="36">
        <f>G34/G27</f>
        <v>0.03099467690022283</v>
      </c>
      <c r="H59" s="35">
        <f>(H34/0.75)/H27</f>
        <v>0.028217783899602084</v>
      </c>
      <c r="I59" s="35">
        <f>(I34/0.5)/I27</f>
        <v>0.03071857868335637</v>
      </c>
      <c r="J59" s="24">
        <f>((J34)/0.25)/J27</f>
        <v>0.02823057234934483</v>
      </c>
      <c r="K59" s="21">
        <f>K34/K27</f>
        <v>0.03048679400036647</v>
      </c>
      <c r="L59" s="21">
        <f>L34/L26</f>
        <v>0.02995067734952128</v>
      </c>
    </row>
    <row r="60" spans="1:12" ht="11.25">
      <c r="A60" s="1" t="s">
        <v>54</v>
      </c>
      <c r="B60" s="17"/>
      <c r="C60" s="35">
        <f>C37/C36</f>
        <v>0.691814946619217</v>
      </c>
      <c r="D60" s="35">
        <f>(D37/0.75)/(D36/0.75)</f>
        <v>0.686574074074074</v>
      </c>
      <c r="E60" s="21">
        <f>(E37/0.5)/(E36/0.5)</f>
        <v>0.7062588904694168</v>
      </c>
      <c r="F60" s="21">
        <f>(F37/0.25)/(F36/0.25)</f>
        <v>0.6620111731843575</v>
      </c>
      <c r="G60" s="36">
        <f>G37/G36</f>
        <v>0.6662020905923345</v>
      </c>
      <c r="H60" s="35">
        <f>(H37/0.75)/(H36/0.75)</f>
        <v>0.6167053364269142</v>
      </c>
      <c r="I60" s="35">
        <f>(I37/0.5)/(I36/0.5)</f>
        <v>0.6415897799858056</v>
      </c>
      <c r="J60" s="24">
        <f>(J37/0.25)/(J36/0.25)</f>
        <v>0.7251184834123223</v>
      </c>
      <c r="K60" s="21">
        <f>K37/K36</f>
        <v>0.7267104754541941</v>
      </c>
      <c r="L60" s="21">
        <f>L37/L36</f>
        <v>0.6567164179104478</v>
      </c>
    </row>
    <row r="61" spans="1:12" ht="11.25">
      <c r="A61" s="2" t="s">
        <v>55</v>
      </c>
      <c r="B61" s="2"/>
      <c r="C61" s="37">
        <f>C35/C27</f>
        <v>0.011735829343866955</v>
      </c>
      <c r="D61" s="37">
        <f>(D35/0.75)/D27</f>
        <v>0.010070840285736342</v>
      </c>
      <c r="E61" s="25">
        <f>(E35/0.5)/E27</f>
        <v>0.012177377202028621</v>
      </c>
      <c r="F61" s="25">
        <f>(F35/0.25)/F27</f>
        <v>0.014371941640295557</v>
      </c>
      <c r="G61" s="38">
        <f>G35/G27</f>
        <v>0.013416068333745977</v>
      </c>
      <c r="H61" s="37">
        <f>(H35/0.75)/H27</f>
        <v>0.01300887664524028</v>
      </c>
      <c r="I61" s="37">
        <f>(I35/0.5)/I27</f>
        <v>0.013045301361991583</v>
      </c>
      <c r="J61" s="27">
        <f>(J35/0.25)/J27</f>
        <v>0.014829553667848609</v>
      </c>
      <c r="K61" s="25">
        <f>K35/K27</f>
        <v>0.014658790475276379</v>
      </c>
      <c r="L61" s="25">
        <f>L35/L26</f>
        <v>0.014908384850581382</v>
      </c>
    </row>
    <row r="62" spans="1:10" ht="11.25">
      <c r="A62" s="4" t="s">
        <v>56</v>
      </c>
      <c r="G62" s="16"/>
      <c r="H62" s="17"/>
      <c r="I62" s="17"/>
      <c r="J62" s="18"/>
    </row>
    <row r="63" spans="1:12" ht="11.25">
      <c r="A63" s="1" t="s">
        <v>57</v>
      </c>
      <c r="C63" s="1">
        <v>17</v>
      </c>
      <c r="D63" s="9">
        <v>19</v>
      </c>
      <c r="E63" s="9">
        <v>18</v>
      </c>
      <c r="F63" s="9">
        <v>17</v>
      </c>
      <c r="G63" s="10">
        <v>18</v>
      </c>
      <c r="H63" s="11">
        <v>18</v>
      </c>
      <c r="I63" s="11">
        <v>18</v>
      </c>
      <c r="J63" s="12">
        <v>17</v>
      </c>
      <c r="K63" s="9">
        <v>18</v>
      </c>
      <c r="L63" s="9">
        <v>16</v>
      </c>
    </row>
    <row r="64" spans="1:12" ht="11.25">
      <c r="A64" s="1" t="s">
        <v>58</v>
      </c>
      <c r="C64" s="1">
        <v>1</v>
      </c>
      <c r="D64" s="9">
        <v>1</v>
      </c>
      <c r="E64" s="9">
        <v>1</v>
      </c>
      <c r="F64" s="9">
        <v>1</v>
      </c>
      <c r="G64" s="10">
        <v>1</v>
      </c>
      <c r="H64" s="11">
        <v>1</v>
      </c>
      <c r="I64" s="11">
        <v>1</v>
      </c>
      <c r="J64" s="12">
        <v>1</v>
      </c>
      <c r="K64" s="9">
        <v>1</v>
      </c>
      <c r="L64" s="9">
        <v>1</v>
      </c>
    </row>
    <row r="65" spans="1:12" ht="11.25">
      <c r="A65" s="1" t="s">
        <v>59</v>
      </c>
      <c r="C65" s="9">
        <f aca="true" t="shared" si="15" ref="C65:L65">C12/C63</f>
        <v>4363.235294117647</v>
      </c>
      <c r="D65" s="9">
        <f t="shared" si="15"/>
        <v>4840.473684210527</v>
      </c>
      <c r="E65" s="9">
        <f t="shared" si="15"/>
        <v>4260.111111111111</v>
      </c>
      <c r="F65" s="9">
        <f t="shared" si="15"/>
        <v>4196.470588235294</v>
      </c>
      <c r="G65" s="10">
        <f t="shared" si="15"/>
        <v>3642.6666666666665</v>
      </c>
      <c r="H65" s="11">
        <f t="shared" si="15"/>
        <v>4235.722222222223</v>
      </c>
      <c r="I65" s="11">
        <f t="shared" si="15"/>
        <v>3594.3333333333335</v>
      </c>
      <c r="J65" s="12">
        <f t="shared" si="15"/>
        <v>3617.9411764705883</v>
      </c>
      <c r="K65" s="9">
        <f t="shared" si="15"/>
        <v>3343.3888888888887</v>
      </c>
      <c r="L65" s="9">
        <f t="shared" si="15"/>
        <v>3378.1875</v>
      </c>
    </row>
    <row r="66" spans="1:12" ht="11.25">
      <c r="A66" s="1" t="s">
        <v>60</v>
      </c>
      <c r="C66" s="9">
        <f aca="true" t="shared" si="16" ref="C66:L66">C16/C63</f>
        <v>4570.705882352941</v>
      </c>
      <c r="D66" s="9">
        <f t="shared" si="16"/>
        <v>4670.315789473684</v>
      </c>
      <c r="E66" s="9">
        <f t="shared" si="16"/>
        <v>4019.3333333333335</v>
      </c>
      <c r="F66" s="9">
        <f t="shared" si="16"/>
        <v>4036</v>
      </c>
      <c r="G66" s="10">
        <f t="shared" si="16"/>
        <v>3891.777777777778</v>
      </c>
      <c r="H66" s="11">
        <f t="shared" si="16"/>
        <v>4085.0555555555557</v>
      </c>
      <c r="I66" s="11">
        <f t="shared" si="16"/>
        <v>3433</v>
      </c>
      <c r="J66" s="12">
        <f t="shared" si="16"/>
        <v>3477.1176470588234</v>
      </c>
      <c r="K66" s="9">
        <f t="shared" si="16"/>
        <v>3335</v>
      </c>
      <c r="L66" s="9">
        <f t="shared" si="16"/>
        <v>3393.5625</v>
      </c>
    </row>
    <row r="67" spans="1:12" ht="11.25">
      <c r="A67" s="2" t="s">
        <v>61</v>
      </c>
      <c r="B67" s="2"/>
      <c r="C67" s="13">
        <f aca="true" t="shared" si="17" ref="C67:L67">(C39/C63)</f>
        <v>36.8235294117647</v>
      </c>
      <c r="D67" s="13">
        <f t="shared" si="17"/>
        <v>26.157894736842106</v>
      </c>
      <c r="E67" s="13">
        <f t="shared" si="17"/>
        <v>16.27777777777778</v>
      </c>
      <c r="F67" s="13">
        <f t="shared" si="17"/>
        <v>14.235294117647058</v>
      </c>
      <c r="G67" s="14">
        <f t="shared" si="17"/>
        <v>14.777777777777779</v>
      </c>
      <c r="H67" s="13">
        <f t="shared" si="17"/>
        <v>32.333333333333336</v>
      </c>
      <c r="I67" s="13">
        <f t="shared" si="17"/>
        <v>17.833333333333332</v>
      </c>
      <c r="J67" s="15">
        <f t="shared" si="17"/>
        <v>6.705882352941177</v>
      </c>
      <c r="K67" s="13">
        <f t="shared" si="17"/>
        <v>20.444444444444443</v>
      </c>
      <c r="L67" s="13">
        <f t="shared" si="17"/>
        <v>27.375</v>
      </c>
    </row>
    <row r="68" spans="1:10" ht="11.25">
      <c r="A68" s="4" t="s">
        <v>62</v>
      </c>
      <c r="G68" s="16"/>
      <c r="H68" s="17"/>
      <c r="I68" s="17"/>
      <c r="J68" s="18"/>
    </row>
    <row r="69" spans="1:12" ht="11.25">
      <c r="A69" s="1" t="s">
        <v>63</v>
      </c>
      <c r="C69" s="21">
        <f>(C10/G10)-1</f>
        <v>0.1546905811572905</v>
      </c>
      <c r="D69" s="21">
        <f>(D10/H10)-1</f>
        <v>0.18981852068673022</v>
      </c>
      <c r="E69" s="21">
        <f>(E10/I10)-1</f>
        <v>0.16573915918232407</v>
      </c>
      <c r="F69" s="21">
        <f>(F10/J10)-1</f>
        <v>0.1369215966411057</v>
      </c>
      <c r="G69" s="22">
        <f>(G10/K10)-1</f>
        <v>0.15116682571354212</v>
      </c>
      <c r="H69" s="23">
        <f>(H10/69145)-1</f>
        <v>0.21051413695856525</v>
      </c>
      <c r="I69" s="23">
        <f>(I10/68907)-1</f>
        <v>0.05353592523255979</v>
      </c>
      <c r="J69" s="24">
        <f>(J10/62178)-1</f>
        <v>0.10318762263179893</v>
      </c>
      <c r="K69" s="21">
        <f>(K10/L10)-1</f>
        <v>0.07843198403293217</v>
      </c>
      <c r="L69" s="21">
        <f>(L10/70288)-1</f>
        <v>-0.08758251764170266</v>
      </c>
    </row>
    <row r="70" spans="1:12" ht="11.25">
      <c r="A70" s="1" t="s">
        <v>64</v>
      </c>
      <c r="C70" s="21">
        <f aca="true" t="shared" si="18" ref="C70:E72">(C12/G12)-1</f>
        <v>0.13126830161054182</v>
      </c>
      <c r="D70" s="21">
        <f t="shared" si="18"/>
        <v>0.20626155843815175</v>
      </c>
      <c r="E70" s="21">
        <f t="shared" si="18"/>
        <v>0.18522983708924534</v>
      </c>
      <c r="F70" s="21">
        <f>F12/J12-1</f>
        <v>0.1599056987236811</v>
      </c>
      <c r="G70" s="22">
        <f>(G12/K12)-1</f>
        <v>0.08951330154035331</v>
      </c>
      <c r="H70" s="23">
        <f>H12/62765-1</f>
        <v>0.21473751294511279</v>
      </c>
      <c r="I70" s="23">
        <f>I12/63702-1</f>
        <v>0.01563530187435247</v>
      </c>
      <c r="J70" s="24">
        <f>J12/55720-1</f>
        <v>0.10382268485283563</v>
      </c>
      <c r="K70" s="21">
        <f>(K12/L12)-1</f>
        <v>0.11341140774453762</v>
      </c>
      <c r="L70" s="21">
        <f>L12/43545-1</f>
        <v>0.24126765415087847</v>
      </c>
    </row>
    <row r="71" spans="2:12" ht="11.25">
      <c r="B71" s="1" t="s">
        <v>15</v>
      </c>
      <c r="C71" s="21">
        <f t="shared" si="18"/>
        <v>0.1578314757578596</v>
      </c>
      <c r="D71" s="21">
        <f t="shared" si="18"/>
        <v>0.20689562902211578</v>
      </c>
      <c r="E71" s="21">
        <f t="shared" si="18"/>
        <v>0.1879806322984905</v>
      </c>
      <c r="F71" s="21">
        <f>(F13/J13)-1</f>
        <v>0.16205718096190713</v>
      </c>
      <c r="G71" s="22">
        <f>(G13/K13)-1</f>
        <v>0.13020006351222602</v>
      </c>
      <c r="H71" s="23">
        <f>(H13/59541)-1</f>
        <v>0.25531986362338555</v>
      </c>
      <c r="I71" s="23">
        <f>(I13/60429)-1</f>
        <v>0.04582237005411316</v>
      </c>
      <c r="J71" s="24">
        <f>(J13/52288)-1</f>
        <v>0.14720394736842102</v>
      </c>
      <c r="K71" s="21">
        <f>(K13/L13)-1</f>
        <v>0.10454625172944643</v>
      </c>
      <c r="L71" s="21">
        <f>(L13/43010)-1</f>
        <v>0.1931411299697745</v>
      </c>
    </row>
    <row r="72" spans="2:12" ht="11.25">
      <c r="B72" s="1" t="s">
        <v>16</v>
      </c>
      <c r="C72" s="21">
        <f t="shared" si="18"/>
        <v>-0.99867197875166</v>
      </c>
      <c r="D72" s="21">
        <f t="shared" si="18"/>
        <v>0.17466666666666675</v>
      </c>
      <c r="E72" s="21">
        <f t="shared" si="18"/>
        <v>0.06933333333333325</v>
      </c>
      <c r="F72" s="21">
        <f>(F14/J14)-1</f>
        <v>0.07499999999999996</v>
      </c>
      <c r="G72" s="22">
        <f>(G14/K14)-1</f>
        <v>-0.5695913118033724</v>
      </c>
      <c r="H72" s="23">
        <f>(H14/3224)-1</f>
        <v>-0.5347394540942928</v>
      </c>
      <c r="I72" s="23">
        <f>(I14/3273)-1</f>
        <v>-0.541704857928506</v>
      </c>
      <c r="J72" s="24">
        <f>(J14/3433)-1</f>
        <v>-0.5572385668511506</v>
      </c>
      <c r="K72" s="21">
        <f>(K14/L14)-1</f>
        <v>0.2798098024871982</v>
      </c>
      <c r="L72" s="21">
        <f>(L14/536)-1</f>
        <v>4.100746268656716</v>
      </c>
    </row>
    <row r="73" spans="1:12" ht="11.25">
      <c r="A73" s="1" t="s">
        <v>65</v>
      </c>
      <c r="C73" s="21">
        <f aca="true" t="shared" si="19" ref="C73:G74">(C16/G16)-1</f>
        <v>0.10920459087534984</v>
      </c>
      <c r="D73" s="21">
        <f t="shared" si="19"/>
        <v>0.2067835334756769</v>
      </c>
      <c r="E73" s="21">
        <f t="shared" si="19"/>
        <v>0.1707932809010584</v>
      </c>
      <c r="F73" s="21">
        <f t="shared" si="19"/>
        <v>0.16073150513440804</v>
      </c>
      <c r="G73" s="22">
        <f t="shared" si="19"/>
        <v>0.16694985840413135</v>
      </c>
      <c r="H73" s="23">
        <f>H16/59506-1</f>
        <v>0.23569051860316614</v>
      </c>
      <c r="I73" s="23">
        <f>I16/60260-1</f>
        <v>0.025456355791569907</v>
      </c>
      <c r="J73" s="24">
        <f>J16/53590-1</f>
        <v>0.1030229520432917</v>
      </c>
      <c r="K73" s="21">
        <f>(K16/L16)-1</f>
        <v>0.10558594397480525</v>
      </c>
      <c r="L73" s="21">
        <f>L16/61462-1</f>
        <v>-0.11657609579903028</v>
      </c>
    </row>
    <row r="74" spans="2:12" ht="11.25">
      <c r="B74" s="1" t="s">
        <v>15</v>
      </c>
      <c r="C74" s="21">
        <f t="shared" si="19"/>
        <v>-0.002732859235101359</v>
      </c>
      <c r="D74" s="21">
        <f t="shared" si="19"/>
        <v>0.28598709677419354</v>
      </c>
      <c r="E74" s="21">
        <f t="shared" si="19"/>
        <v>0.1494270406314946</v>
      </c>
      <c r="F74" s="21">
        <f t="shared" si="19"/>
        <v>0.0775241030787428</v>
      </c>
      <c r="G74" s="22">
        <f t="shared" si="19"/>
        <v>0.16213086276780553</v>
      </c>
      <c r="H74" s="23">
        <f>(H17/59479)-1</f>
        <v>-0.022764336992888268</v>
      </c>
      <c r="I74" s="23">
        <f>(I17/58309)-1</f>
        <v>-0.10053336534668744</v>
      </c>
      <c r="J74" s="24">
        <f>(J17/51667)-1</f>
        <v>0.0800317417306986</v>
      </c>
      <c r="K74" s="21">
        <f>(K17/L17)-1</f>
        <v>0.0697512904739559</v>
      </c>
      <c r="L74" s="21">
        <f>(L17/43472)-1</f>
        <v>0.22550147221199857</v>
      </c>
    </row>
    <row r="75" spans="2:12" ht="11.25">
      <c r="B75" s="1" t="s">
        <v>16</v>
      </c>
      <c r="C75" s="21">
        <f>(C21/G21)-1</f>
        <v>2.0494634912326615</v>
      </c>
      <c r="D75" s="21">
        <f>(D21/H21)-1</f>
        <v>-0.09204206153446715</v>
      </c>
      <c r="E75" s="21">
        <f>(E21/I21)-1</f>
        <v>0.2906815020862308</v>
      </c>
      <c r="F75" s="21">
        <f>(F21/J21)-1</f>
        <v>1.5639165911151407</v>
      </c>
      <c r="G75" s="22">
        <f>(G21/K21)-1</f>
        <v>0.25732148733135896</v>
      </c>
      <c r="H75" s="23">
        <f>(H21/4026)-1</f>
        <v>2.826626924987581</v>
      </c>
      <c r="I75" s="23">
        <f>(I21/1950)-1</f>
        <v>3.793333333333333</v>
      </c>
      <c r="J75" s="24">
        <f>(J21/1923)-1</f>
        <v>0.7207488299531981</v>
      </c>
      <c r="K75" s="21">
        <f>(K21/L21)-1</f>
        <v>1.9735812133072406</v>
      </c>
      <c r="L75" s="21">
        <f>(L21/17990)-1</f>
        <v>-0.9431906614785992</v>
      </c>
    </row>
    <row r="76" spans="1:12" ht="11.25">
      <c r="A76" s="1" t="s">
        <v>66</v>
      </c>
      <c r="C76" s="21">
        <f>(C24/G24)-1</f>
        <v>0.27495495495495503</v>
      </c>
      <c r="D76" s="21">
        <f>(D24/H24)-1</f>
        <v>0.1846862210095499</v>
      </c>
      <c r="E76" s="21">
        <f>(E24/I24)-1</f>
        <v>0.203462430840621</v>
      </c>
      <c r="F76" s="21">
        <f>(F24/J24)-1</f>
        <v>0.07357301704966646</v>
      </c>
      <c r="G76" s="22">
        <f>(G24/K24)-1</f>
        <v>0.05073835668307458</v>
      </c>
      <c r="H76" s="23">
        <f>(H24/5332)-1</f>
        <v>0.09977494373593387</v>
      </c>
      <c r="I76" s="23">
        <f>(I24/5213)-1</f>
        <v>0.07481296758104738</v>
      </c>
      <c r="J76" s="24">
        <f>(J24/5088)-1</f>
        <v>0.06053459119496862</v>
      </c>
      <c r="K76" s="21">
        <f>(K24/L24)-1</f>
        <v>0.07532573289902289</v>
      </c>
      <c r="L76" s="21">
        <f>(L24/4474)-1</f>
        <v>0.09789897183728202</v>
      </c>
    </row>
    <row r="77" spans="1:12" ht="11.25">
      <c r="A77" s="2" t="s">
        <v>67</v>
      </c>
      <c r="B77" s="2"/>
      <c r="C77" s="25">
        <f>(C39/G39)-1</f>
        <v>1.3533834586466167</v>
      </c>
      <c r="D77" s="25">
        <f>(D39/H39)-1</f>
        <v>-0.14604810996563578</v>
      </c>
      <c r="E77" s="25">
        <f>(E39/I39)-1</f>
        <v>-0.08722741433021808</v>
      </c>
      <c r="F77" s="25">
        <f>(F39/J39)-1</f>
        <v>1.1228070175438596</v>
      </c>
      <c r="G77" s="26">
        <f>(G39/K39)-1</f>
        <v>-0.27717391304347827</v>
      </c>
      <c r="H77" s="25">
        <f>(H39/418)-1</f>
        <v>0.39234449760765555</v>
      </c>
      <c r="I77" s="25">
        <f>(I39/302)-1</f>
        <v>0.0629139072847682</v>
      </c>
      <c r="J77" s="27">
        <f>(J39/176)-1</f>
        <v>-0.3522727272727273</v>
      </c>
      <c r="K77" s="25">
        <f>(K39/L39)-1</f>
        <v>-0.15981735159817356</v>
      </c>
      <c r="L77" s="25">
        <f>(L39/581)-1</f>
        <v>-0.24612736660929435</v>
      </c>
    </row>
  </sheetData>
  <sheetProtection password="CD66" sheet="1" objects="1" scenarios="1"/>
  <mergeCells count="3">
    <mergeCell ref="G7:J7"/>
    <mergeCell ref="K7:L7"/>
    <mergeCell ref="C7:F7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5514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2002-07-11T18:18:21Z</cp:lastPrinted>
  <dcterms:created xsi:type="dcterms:W3CDTF">2002-03-19T20:50:04Z</dcterms:created>
  <dcterms:modified xsi:type="dcterms:W3CDTF">2002-03-20T23:10:47Z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