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ICBC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<sst xmlns="http://schemas.openxmlformats.org/spreadsheetml/2006/main" count="84" uniqueCount="68">
  <si>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18-43</t>
  </si>
  <si>
    <t>INTERNATIONAL COMMERCIAL BANK OF CHINA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</si>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</sst>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1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6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7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11.421875" defaultRowHeight="12.75"/>
  <cols>
    <col min="1" max="1" width="2.140625" style="1" customWidth="1"/>
    <col min="2" max="2" width="33.57421875" style="1" customWidth="1"/>
    <col min="3" max="3" width="8.14062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5"/>
      <c r="C2" s="45"/>
      <c r="D2" s="45"/>
      <c r="E2" s="45"/>
      <c r="F2" s="45"/>
      <c r="G2" s="45" t="s">
        <v>0</v>
      </c>
      <c r="H2" s="45"/>
      <c r="I2" s="45"/>
      <c r="J2" s="45"/>
      <c r="K2" s="45"/>
      <c r="L2" s="45"/>
    </row>
    <row r="3" spans="2:12" ht="11.25">
      <c r="B3" s="45"/>
      <c r="C3" s="45"/>
      <c r="D3" s="45"/>
      <c r="E3" s="45"/>
      <c r="F3" s="45"/>
      <c r="G3" s="45" t="s">
        <v>1</v>
      </c>
      <c r="H3" s="45"/>
      <c r="I3" s="45"/>
      <c r="J3" s="45"/>
      <c r="K3" s="45"/>
      <c r="L3" s="45"/>
    </row>
    <row r="4" spans="2:12" ht="11.25">
      <c r="B4" s="45"/>
      <c r="C4" s="45"/>
      <c r="D4" s="45"/>
      <c r="E4" s="45"/>
      <c r="F4" s="45"/>
      <c r="G4" s="45" t="s">
        <v>2</v>
      </c>
      <c r="H4" s="45"/>
      <c r="I4" s="45"/>
      <c r="J4" s="45"/>
      <c r="K4" s="45"/>
      <c r="L4" s="45"/>
    </row>
    <row r="5" spans="2:12" ht="11.25">
      <c r="B5" s="44"/>
      <c r="C5" s="44"/>
      <c r="D5" s="44"/>
      <c r="E5" s="44"/>
      <c r="F5" s="44"/>
      <c r="G5" s="44" t="s">
        <v>3</v>
      </c>
      <c r="H5" s="44"/>
      <c r="I5" s="44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3"/>
      <c r="B7" s="3"/>
      <c r="C7" s="47">
        <v>2001</v>
      </c>
      <c r="D7" s="47"/>
      <c r="E7" s="47"/>
      <c r="F7" s="48"/>
      <c r="G7" s="46">
        <v>2000</v>
      </c>
      <c r="H7" s="47"/>
      <c r="I7" s="47"/>
      <c r="J7" s="48"/>
      <c r="K7" s="47" t="s">
        <v>4</v>
      </c>
      <c r="L7" s="47"/>
    </row>
    <row r="8" spans="1:12" ht="11.25">
      <c r="A8" s="4"/>
      <c r="B8" s="4"/>
      <c r="C8" s="5" t="s">
        <v>5</v>
      </c>
      <c r="D8" s="4" t="s">
        <v>6</v>
      </c>
      <c r="E8" s="4" t="s">
        <v>7</v>
      </c>
      <c r="F8" s="4" t="s">
        <v>8</v>
      </c>
      <c r="G8" s="6" t="s">
        <v>5</v>
      </c>
      <c r="H8" s="4" t="s">
        <v>6</v>
      </c>
      <c r="I8" s="4" t="s">
        <v>7</v>
      </c>
      <c r="J8" s="7" t="s">
        <v>8</v>
      </c>
      <c r="K8" s="8" t="s">
        <v>9</v>
      </c>
      <c r="L8" s="8" t="s">
        <v>10</v>
      </c>
    </row>
    <row r="9" spans="1:12" ht="11.25">
      <c r="A9" s="9" t="s">
        <v>11</v>
      </c>
      <c r="B9" s="9"/>
      <c r="C9" s="9"/>
      <c r="D9" s="9"/>
      <c r="E9" s="9"/>
      <c r="F9" s="10"/>
      <c r="G9" s="11"/>
      <c r="H9" s="12"/>
      <c r="I9" s="12"/>
      <c r="J9" s="13"/>
      <c r="K9" s="10"/>
      <c r="L9" s="10"/>
    </row>
    <row r="10" spans="1:12" ht="11.25">
      <c r="A10" s="1" t="s">
        <v>12</v>
      </c>
      <c r="C10" s="14">
        <v>185375</v>
      </c>
      <c r="D10" s="14">
        <v>175606</v>
      </c>
      <c r="E10" s="14">
        <v>175415</v>
      </c>
      <c r="F10" s="14">
        <v>179976</v>
      </c>
      <c r="G10" s="15">
        <v>189958</v>
      </c>
      <c r="H10" s="16">
        <v>179067</v>
      </c>
      <c r="I10" s="16">
        <v>185481</v>
      </c>
      <c r="J10" s="17">
        <v>184760</v>
      </c>
      <c r="K10" s="14">
        <v>180911</v>
      </c>
      <c r="L10" s="14">
        <v>182445</v>
      </c>
    </row>
    <row r="11" spans="1:12" ht="11.25">
      <c r="A11" s="1" t="s">
        <v>13</v>
      </c>
      <c r="C11" s="14">
        <v>74007</v>
      </c>
      <c r="D11" s="14">
        <v>59195</v>
      </c>
      <c r="E11" s="14">
        <v>60704</v>
      </c>
      <c r="F11" s="14">
        <v>73856</v>
      </c>
      <c r="G11" s="15">
        <v>74494</v>
      </c>
      <c r="H11" s="16">
        <v>67372</v>
      </c>
      <c r="I11" s="16">
        <v>77302</v>
      </c>
      <c r="J11" s="17">
        <v>80113</v>
      </c>
      <c r="K11" s="14">
        <v>76438</v>
      </c>
      <c r="L11" s="14">
        <v>78154</v>
      </c>
    </row>
    <row r="12" spans="1:12" ht="11.25">
      <c r="A12" s="1" t="s">
        <v>14</v>
      </c>
      <c r="C12" s="14">
        <f aca="true" t="shared" si="0" ref="C12:L12">C13+C14</f>
        <v>103901</v>
      </c>
      <c r="D12" s="14">
        <f t="shared" si="0"/>
        <v>108317</v>
      </c>
      <c r="E12" s="14">
        <f t="shared" si="0"/>
        <v>106024</v>
      </c>
      <c r="F12" s="14">
        <f t="shared" si="0"/>
        <v>97832</v>
      </c>
      <c r="G12" s="15">
        <f t="shared" si="0"/>
        <v>102380</v>
      </c>
      <c r="H12" s="16">
        <f t="shared" si="0"/>
        <v>101629</v>
      </c>
      <c r="I12" s="16">
        <f t="shared" si="0"/>
        <v>99126</v>
      </c>
      <c r="J12" s="17">
        <f t="shared" si="0"/>
        <v>94468</v>
      </c>
      <c r="K12" s="14">
        <f t="shared" si="0"/>
        <v>96027</v>
      </c>
      <c r="L12" s="14">
        <f t="shared" si="0"/>
        <v>96109</v>
      </c>
    </row>
    <row r="13" spans="2:12" ht="11.25">
      <c r="B13" s="1" t="s">
        <v>15</v>
      </c>
      <c r="C13" s="14">
        <v>97740</v>
      </c>
      <c r="D13" s="14">
        <v>101998</v>
      </c>
      <c r="E13" s="14">
        <v>95133</v>
      </c>
      <c r="F13" s="14">
        <v>94398</v>
      </c>
      <c r="G13" s="15">
        <v>98266</v>
      </c>
      <c r="H13" s="16">
        <v>97535</v>
      </c>
      <c r="I13" s="16">
        <v>95041</v>
      </c>
      <c r="J13" s="17">
        <v>88878</v>
      </c>
      <c r="K13" s="14">
        <v>91078</v>
      </c>
      <c r="L13" s="14">
        <v>89514</v>
      </c>
    </row>
    <row r="14" spans="2:12" ht="11.25">
      <c r="B14" s="1" t="s">
        <v>16</v>
      </c>
      <c r="C14" s="14">
        <v>6161</v>
      </c>
      <c r="D14" s="14">
        <v>6319</v>
      </c>
      <c r="E14" s="14">
        <v>10891</v>
      </c>
      <c r="F14" s="14">
        <v>3434</v>
      </c>
      <c r="G14" s="15">
        <v>4114</v>
      </c>
      <c r="H14" s="16">
        <v>4094</v>
      </c>
      <c r="I14" s="16">
        <v>4085</v>
      </c>
      <c r="J14" s="17">
        <v>5590</v>
      </c>
      <c r="K14" s="14">
        <v>4949</v>
      </c>
      <c r="L14" s="14">
        <v>6595</v>
      </c>
    </row>
    <row r="15" spans="1:12" ht="11.25">
      <c r="A15" s="1" t="s">
        <v>17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  <c r="H15" s="16">
        <v>0</v>
      </c>
      <c r="I15" s="16">
        <v>0</v>
      </c>
      <c r="J15" s="17">
        <v>0</v>
      </c>
      <c r="K15" s="14">
        <v>0</v>
      </c>
      <c r="L15" s="14">
        <v>0</v>
      </c>
    </row>
    <row r="16" spans="1:12" ht="11.25">
      <c r="A16" s="1" t="s">
        <v>18</v>
      </c>
      <c r="C16" s="14">
        <f aca="true" t="shared" si="1" ref="C16:L16">C17+C21</f>
        <v>162890</v>
      </c>
      <c r="D16" s="14">
        <f t="shared" si="1"/>
        <v>158300</v>
      </c>
      <c r="E16" s="14">
        <f t="shared" si="1"/>
        <v>157989</v>
      </c>
      <c r="F16" s="14">
        <f t="shared" si="1"/>
        <v>162501</v>
      </c>
      <c r="G16" s="15">
        <f t="shared" si="1"/>
        <v>169216</v>
      </c>
      <c r="H16" s="16">
        <f t="shared" si="1"/>
        <v>163423</v>
      </c>
      <c r="I16" s="16">
        <f t="shared" si="1"/>
        <v>170227</v>
      </c>
      <c r="J16" s="17">
        <f t="shared" si="1"/>
        <v>170069</v>
      </c>
      <c r="K16" s="14">
        <f t="shared" si="1"/>
        <v>167612</v>
      </c>
      <c r="L16" s="14">
        <f t="shared" si="1"/>
        <v>169084</v>
      </c>
    </row>
    <row r="17" spans="2:12" ht="11.25">
      <c r="B17" s="1" t="s">
        <v>15</v>
      </c>
      <c r="C17" s="14">
        <f aca="true" t="shared" si="2" ref="C17:L17">SUM(C18:C20)</f>
        <v>95297</v>
      </c>
      <c r="D17" s="14">
        <f t="shared" si="2"/>
        <v>86922</v>
      </c>
      <c r="E17" s="14">
        <f t="shared" si="2"/>
        <v>84920</v>
      </c>
      <c r="F17" s="14">
        <f t="shared" si="2"/>
        <v>96986</v>
      </c>
      <c r="G17" s="15">
        <f t="shared" si="2"/>
        <v>103030</v>
      </c>
      <c r="H17" s="16">
        <f t="shared" si="2"/>
        <v>95317</v>
      </c>
      <c r="I17" s="16">
        <f t="shared" si="2"/>
        <v>89499</v>
      </c>
      <c r="J17" s="17">
        <f t="shared" si="2"/>
        <v>96933</v>
      </c>
      <c r="K17" s="14">
        <f t="shared" si="2"/>
        <v>66440</v>
      </c>
      <c r="L17" s="14">
        <f t="shared" si="2"/>
        <v>66864</v>
      </c>
    </row>
    <row r="18" spans="2:12" ht="11.25">
      <c r="B18" s="1" t="s">
        <v>19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6">
        <v>0</v>
      </c>
      <c r="I18" s="16">
        <v>0</v>
      </c>
      <c r="J18" s="17">
        <v>0</v>
      </c>
      <c r="K18" s="14">
        <v>0</v>
      </c>
      <c r="L18" s="14">
        <v>0</v>
      </c>
    </row>
    <row r="19" spans="2:12" ht="11.25">
      <c r="B19" s="1" t="s">
        <v>20</v>
      </c>
      <c r="C19" s="14">
        <f>26847+68450</f>
        <v>95297</v>
      </c>
      <c r="D19" s="14">
        <v>86922</v>
      </c>
      <c r="E19" s="14">
        <v>84920</v>
      </c>
      <c r="F19" s="14">
        <v>96986</v>
      </c>
      <c r="G19" s="15">
        <v>103030</v>
      </c>
      <c r="H19" s="16">
        <v>95317</v>
      </c>
      <c r="I19" s="16">
        <v>89499</v>
      </c>
      <c r="J19" s="17">
        <v>96933</v>
      </c>
      <c r="K19" s="14">
        <v>66440</v>
      </c>
      <c r="L19" s="14">
        <v>66864</v>
      </c>
    </row>
    <row r="20" spans="2:12" ht="11.25">
      <c r="B20" s="1" t="s">
        <v>21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  <c r="H20" s="16">
        <v>0</v>
      </c>
      <c r="I20" s="16">
        <v>0</v>
      </c>
      <c r="J20" s="17">
        <v>0</v>
      </c>
      <c r="K20" s="14">
        <v>0</v>
      </c>
      <c r="L20" s="14">
        <v>0</v>
      </c>
    </row>
    <row r="21" spans="2:12" ht="11.25">
      <c r="B21" s="1" t="s">
        <v>16</v>
      </c>
      <c r="C21" s="14">
        <f aca="true" t="shared" si="3" ref="C21:L21">SUM(C22:C23)</f>
        <v>67593</v>
      </c>
      <c r="D21" s="14">
        <f t="shared" si="3"/>
        <v>71378</v>
      </c>
      <c r="E21" s="14">
        <f t="shared" si="3"/>
        <v>73069</v>
      </c>
      <c r="F21" s="14">
        <f t="shared" si="3"/>
        <v>65515</v>
      </c>
      <c r="G21" s="15">
        <f t="shared" si="3"/>
        <v>66186</v>
      </c>
      <c r="H21" s="16">
        <f t="shared" si="3"/>
        <v>68106</v>
      </c>
      <c r="I21" s="16">
        <f t="shared" si="3"/>
        <v>80728</v>
      </c>
      <c r="J21" s="17">
        <f t="shared" si="3"/>
        <v>73136</v>
      </c>
      <c r="K21" s="14">
        <f t="shared" si="3"/>
        <v>101172</v>
      </c>
      <c r="L21" s="14">
        <f t="shared" si="3"/>
        <v>102220</v>
      </c>
    </row>
    <row r="22" spans="2:12" ht="11.25">
      <c r="B22" s="1" t="s">
        <v>20</v>
      </c>
      <c r="C22" s="14">
        <f>1639+20221</f>
        <v>21860</v>
      </c>
      <c r="D22" s="14">
        <v>20227</v>
      </c>
      <c r="E22" s="14">
        <v>19277</v>
      </c>
      <c r="F22" s="14">
        <v>18965</v>
      </c>
      <c r="G22" s="15">
        <v>19239</v>
      </c>
      <c r="H22" s="16">
        <v>22769</v>
      </c>
      <c r="I22" s="16">
        <v>22375</v>
      </c>
      <c r="J22" s="17">
        <v>23937</v>
      </c>
      <c r="K22" s="14">
        <v>49087</v>
      </c>
      <c r="L22" s="14">
        <v>45135</v>
      </c>
    </row>
    <row r="23" spans="2:12" ht="11.25">
      <c r="B23" s="1" t="s">
        <v>21</v>
      </c>
      <c r="C23" s="14">
        <f>4067+40000+1635+31</f>
        <v>45733</v>
      </c>
      <c r="D23" s="14">
        <v>51151</v>
      </c>
      <c r="E23" s="14">
        <v>53792</v>
      </c>
      <c r="F23" s="14">
        <v>46550</v>
      </c>
      <c r="G23" s="15">
        <v>46947</v>
      </c>
      <c r="H23" s="16">
        <v>45337</v>
      </c>
      <c r="I23" s="16">
        <v>58353</v>
      </c>
      <c r="J23" s="17">
        <v>49199</v>
      </c>
      <c r="K23" s="14">
        <v>52085</v>
      </c>
      <c r="L23" s="14">
        <v>57085</v>
      </c>
    </row>
    <row r="24" spans="1:12" ht="11.25">
      <c r="A24" s="2" t="s">
        <v>22</v>
      </c>
      <c r="B24" s="2"/>
      <c r="C24" s="18">
        <v>8870</v>
      </c>
      <c r="D24" s="18">
        <v>6873</v>
      </c>
      <c r="E24" s="18">
        <v>6550</v>
      </c>
      <c r="F24" s="18">
        <v>6568</v>
      </c>
      <c r="G24" s="19">
        <v>8134</v>
      </c>
      <c r="H24" s="18">
        <v>5892</v>
      </c>
      <c r="I24" s="18">
        <v>5416</v>
      </c>
      <c r="J24" s="20">
        <v>5160</v>
      </c>
      <c r="K24" s="18">
        <v>5611</v>
      </c>
      <c r="L24" s="18">
        <v>4693</v>
      </c>
    </row>
    <row r="25" spans="1:12" ht="11.25">
      <c r="A25" s="9" t="s">
        <v>23</v>
      </c>
      <c r="D25" s="14"/>
      <c r="F25" s="14"/>
      <c r="G25" s="15"/>
      <c r="H25" s="16"/>
      <c r="I25" s="16"/>
      <c r="J25" s="17"/>
      <c r="K25" s="14"/>
      <c r="L25" s="14"/>
    </row>
    <row r="26" spans="1:12" ht="11.25">
      <c r="A26" s="1" t="s">
        <v>12</v>
      </c>
      <c r="C26" s="14">
        <f>(C10+G10)/2</f>
        <v>187666.5</v>
      </c>
      <c r="D26" s="14">
        <f>(D10+H10)/2</f>
        <v>177336.5</v>
      </c>
      <c r="E26" s="14">
        <f>(E10+I10)/2</f>
        <v>180448</v>
      </c>
      <c r="F26" s="14">
        <f>(F10+J10)/2</f>
        <v>182368</v>
      </c>
      <c r="G26" s="15">
        <f>(G10+180911)/2</f>
        <v>185434.5</v>
      </c>
      <c r="H26" s="16">
        <f>(H10+172742)/2</f>
        <v>175904.5</v>
      </c>
      <c r="I26" s="16">
        <f>(I72+168558)/2</f>
        <v>84278.90509718366</v>
      </c>
      <c r="J26" s="17">
        <f>(J10+170692)/2</f>
        <v>177726</v>
      </c>
      <c r="K26" s="14">
        <f>(K10+L10)/2</f>
        <v>181678</v>
      </c>
      <c r="L26" s="14">
        <f>(L10+159263)/2</f>
        <v>170854</v>
      </c>
    </row>
    <row r="27" spans="1:12" ht="11.25">
      <c r="A27" s="1" t="s">
        <v>24</v>
      </c>
      <c r="C27" s="14">
        <f aca="true" t="shared" si="4" ref="C27:L27">C28+C29</f>
        <v>103140.5</v>
      </c>
      <c r="D27" s="14">
        <f t="shared" si="4"/>
        <v>104973</v>
      </c>
      <c r="E27" s="14">
        <f t="shared" si="4"/>
        <v>102575</v>
      </c>
      <c r="F27" s="14">
        <f t="shared" si="4"/>
        <v>96150</v>
      </c>
      <c r="G27" s="15">
        <f t="shared" si="4"/>
        <v>99203.5</v>
      </c>
      <c r="H27" s="16">
        <f t="shared" si="4"/>
        <v>95072.5</v>
      </c>
      <c r="I27" s="16">
        <f t="shared" si="4"/>
        <v>92041.5</v>
      </c>
      <c r="J27" s="17">
        <f t="shared" si="4"/>
        <v>90826</v>
      </c>
      <c r="K27" s="14">
        <f t="shared" si="4"/>
        <v>96068</v>
      </c>
      <c r="L27" s="14">
        <f t="shared" si="4"/>
        <v>86700</v>
      </c>
    </row>
    <row r="28" spans="2:12" ht="11.25">
      <c r="B28" s="1" t="s">
        <v>14</v>
      </c>
      <c r="C28" s="14">
        <f>(C12+G12)/2</f>
        <v>103140.5</v>
      </c>
      <c r="D28" s="14">
        <f>(D12+H12)/2</f>
        <v>104973</v>
      </c>
      <c r="E28" s="14">
        <f>(E12+I12)/2</f>
        <v>102575</v>
      </c>
      <c r="F28" s="14">
        <f>(F12+J12)/2</f>
        <v>96150</v>
      </c>
      <c r="G28" s="15">
        <f>(G12+K12)/2</f>
        <v>99203.5</v>
      </c>
      <c r="H28" s="16">
        <f>(H12+88516)/2</f>
        <v>95072.5</v>
      </c>
      <c r="I28" s="16">
        <f>(I12+84957)/2</f>
        <v>92041.5</v>
      </c>
      <c r="J28" s="17">
        <f>(J12+87184)/2</f>
        <v>90826</v>
      </c>
      <c r="K28" s="14">
        <f>(K12+L12)/2</f>
        <v>96068</v>
      </c>
      <c r="L28" s="14">
        <f>(L12+77291)/2</f>
        <v>86700</v>
      </c>
    </row>
    <row r="29" spans="2:12" ht="11.25">
      <c r="B29" s="1" t="s">
        <v>17</v>
      </c>
      <c r="C29" s="14">
        <f>(C15+G15)/2</f>
        <v>0</v>
      </c>
      <c r="D29" s="14">
        <f>(D15+H15)/2</f>
        <v>0</v>
      </c>
      <c r="E29" s="14">
        <f>(E15+I15)/2</f>
        <v>0</v>
      </c>
      <c r="F29" s="14">
        <f>(F15+J15)/2</f>
        <v>0</v>
      </c>
      <c r="G29" s="15">
        <v>0</v>
      </c>
      <c r="H29" s="16">
        <v>0</v>
      </c>
      <c r="I29" s="16">
        <v>0</v>
      </c>
      <c r="J29" s="17">
        <v>0</v>
      </c>
      <c r="K29" s="14">
        <v>0</v>
      </c>
      <c r="L29" s="14">
        <v>0</v>
      </c>
    </row>
    <row r="30" spans="1:12" ht="11.25">
      <c r="A30" s="2" t="s">
        <v>22</v>
      </c>
      <c r="B30" s="2"/>
      <c r="C30" s="18">
        <f>(C24+G24)/2</f>
        <v>8502</v>
      </c>
      <c r="D30" s="18">
        <f>(D24+H24)/2</f>
        <v>6382.5</v>
      </c>
      <c r="E30" s="18">
        <f>(E24+I24)/2</f>
        <v>5983</v>
      </c>
      <c r="F30" s="18">
        <f>(F24+J24)/2</f>
        <v>5864</v>
      </c>
      <c r="G30" s="19">
        <f>(G24+K24)/2</f>
        <v>6872.5</v>
      </c>
      <c r="H30" s="18">
        <f>(H24+4040)/2</f>
        <v>4966</v>
      </c>
      <c r="I30" s="18">
        <f>(I24+4029)/2</f>
        <v>4722.5</v>
      </c>
      <c r="J30" s="20">
        <f>(J24+5229)/2</f>
        <v>5194.5</v>
      </c>
      <c r="K30" s="18">
        <f>(K24+L24)/2</f>
        <v>5152</v>
      </c>
      <c r="L30" s="18">
        <f>(L24+3534)/2</f>
        <v>4113.5</v>
      </c>
    </row>
    <row r="31" spans="1:10" ht="11.25">
      <c r="A31" s="9" t="s">
        <v>25</v>
      </c>
      <c r="D31" s="14"/>
      <c r="F31" s="14"/>
      <c r="G31" s="21"/>
      <c r="H31" s="22"/>
      <c r="I31" s="22"/>
      <c r="J31" s="23"/>
    </row>
    <row r="32" spans="1:12" ht="11.25">
      <c r="A32" s="1" t="s">
        <v>26</v>
      </c>
      <c r="C32" s="24">
        <v>12060</v>
      </c>
      <c r="D32" s="14">
        <f>E32+2846</f>
        <v>9421</v>
      </c>
      <c r="E32" s="14">
        <f>F32+3150</f>
        <v>6575</v>
      </c>
      <c r="F32" s="14">
        <v>3425</v>
      </c>
      <c r="G32" s="15">
        <f>3825+H32</f>
        <v>14365</v>
      </c>
      <c r="H32" s="16">
        <f>3610+I32</f>
        <v>10540</v>
      </c>
      <c r="I32" s="16">
        <f>3517+J32</f>
        <v>6930</v>
      </c>
      <c r="J32" s="17">
        <v>3413</v>
      </c>
      <c r="K32" s="14">
        <v>12342</v>
      </c>
      <c r="L32" s="14">
        <v>12287</v>
      </c>
    </row>
    <row r="33" spans="1:12" ht="11.25">
      <c r="A33" s="1" t="s">
        <v>27</v>
      </c>
      <c r="C33" s="24">
        <v>6969</v>
      </c>
      <c r="D33" s="14">
        <f>E33+1621</f>
        <v>5627</v>
      </c>
      <c r="E33" s="14">
        <f>F33+1879</f>
        <v>4006</v>
      </c>
      <c r="F33" s="14">
        <v>2127</v>
      </c>
      <c r="G33" s="15">
        <f>2337+H33</f>
        <v>9155</v>
      </c>
      <c r="H33" s="16">
        <f>2376+I33</f>
        <v>6818</v>
      </c>
      <c r="I33" s="16">
        <f>2333+J33</f>
        <v>4442</v>
      </c>
      <c r="J33" s="17">
        <v>2109</v>
      </c>
      <c r="K33" s="14">
        <v>7616</v>
      </c>
      <c r="L33" s="14">
        <v>7678</v>
      </c>
    </row>
    <row r="34" spans="1:12" ht="11.25">
      <c r="A34" s="1" t="s">
        <v>28</v>
      </c>
      <c r="C34" s="14">
        <f aca="true" t="shared" si="5" ref="C34:L34">C32-C33</f>
        <v>5091</v>
      </c>
      <c r="D34" s="14">
        <f t="shared" si="5"/>
        <v>3794</v>
      </c>
      <c r="E34" s="14">
        <f t="shared" si="5"/>
        <v>2569</v>
      </c>
      <c r="F34" s="14">
        <f t="shared" si="5"/>
        <v>1298</v>
      </c>
      <c r="G34" s="15">
        <f t="shared" si="5"/>
        <v>5210</v>
      </c>
      <c r="H34" s="16">
        <f t="shared" si="5"/>
        <v>3722</v>
      </c>
      <c r="I34" s="16">
        <f t="shared" si="5"/>
        <v>2488</v>
      </c>
      <c r="J34" s="17">
        <f t="shared" si="5"/>
        <v>1304</v>
      </c>
      <c r="K34" s="14">
        <f t="shared" si="5"/>
        <v>4726</v>
      </c>
      <c r="L34" s="14">
        <f t="shared" si="5"/>
        <v>4609</v>
      </c>
    </row>
    <row r="35" spans="1:12" ht="11.25">
      <c r="A35" s="1" t="s">
        <v>29</v>
      </c>
      <c r="C35" s="24">
        <v>1646</v>
      </c>
      <c r="D35" s="14">
        <f>E35+391</f>
        <v>1214</v>
      </c>
      <c r="E35" s="14">
        <f>F35+441</f>
        <v>823</v>
      </c>
      <c r="F35" s="14">
        <v>382</v>
      </c>
      <c r="G35" s="15">
        <f>475+H35</f>
        <v>1735</v>
      </c>
      <c r="H35" s="16">
        <f>418+I35</f>
        <v>1260</v>
      </c>
      <c r="I35" s="16">
        <f>452+J35</f>
        <v>842</v>
      </c>
      <c r="J35" s="17">
        <v>390</v>
      </c>
      <c r="K35" s="14">
        <v>2560</v>
      </c>
      <c r="L35" s="14">
        <v>2137</v>
      </c>
    </row>
    <row r="36" spans="1:12" ht="11.25">
      <c r="A36" s="1" t="s">
        <v>30</v>
      </c>
      <c r="C36" s="14">
        <f aca="true" t="shared" si="6" ref="C36:L36">C34+C35</f>
        <v>6737</v>
      </c>
      <c r="D36" s="14">
        <f t="shared" si="6"/>
        <v>5008</v>
      </c>
      <c r="E36" s="14">
        <f t="shared" si="6"/>
        <v>3392</v>
      </c>
      <c r="F36" s="14">
        <f t="shared" si="6"/>
        <v>1680</v>
      </c>
      <c r="G36" s="15">
        <f t="shared" si="6"/>
        <v>6945</v>
      </c>
      <c r="H36" s="16">
        <f t="shared" si="6"/>
        <v>4982</v>
      </c>
      <c r="I36" s="16">
        <f t="shared" si="6"/>
        <v>3330</v>
      </c>
      <c r="J36" s="17">
        <f t="shared" si="6"/>
        <v>1694</v>
      </c>
      <c r="K36" s="14">
        <f t="shared" si="6"/>
        <v>7286</v>
      </c>
      <c r="L36" s="14">
        <f t="shared" si="6"/>
        <v>6746</v>
      </c>
    </row>
    <row r="37" spans="1:12" ht="11.25">
      <c r="A37" s="1" t="s">
        <v>31</v>
      </c>
      <c r="C37" s="24">
        <v>4269</v>
      </c>
      <c r="D37" s="14">
        <f>E37+989</f>
        <v>3102</v>
      </c>
      <c r="E37" s="14">
        <f>F37+1075</f>
        <v>2113</v>
      </c>
      <c r="F37" s="14">
        <v>1038</v>
      </c>
      <c r="G37" s="15">
        <f>1212+H37</f>
        <v>4702</v>
      </c>
      <c r="H37" s="16">
        <f>1112+I37</f>
        <v>3490</v>
      </c>
      <c r="I37" s="16">
        <f>1164+J37</f>
        <v>2378</v>
      </c>
      <c r="J37" s="17">
        <v>1214</v>
      </c>
      <c r="K37" s="14">
        <v>5264</v>
      </c>
      <c r="L37" s="14">
        <v>4687</v>
      </c>
    </row>
    <row r="38" spans="1:12" ht="11.25">
      <c r="A38" s="1" t="s">
        <v>32</v>
      </c>
      <c r="C38" s="14">
        <f aca="true" t="shared" si="7" ref="C38:L38">C36-C37</f>
        <v>2468</v>
      </c>
      <c r="D38" s="14">
        <f t="shared" si="7"/>
        <v>1906</v>
      </c>
      <c r="E38" s="14">
        <f t="shared" si="7"/>
        <v>1279</v>
      </c>
      <c r="F38" s="14">
        <f t="shared" si="7"/>
        <v>642</v>
      </c>
      <c r="G38" s="15">
        <f t="shared" si="7"/>
        <v>2243</v>
      </c>
      <c r="H38" s="16">
        <f t="shared" si="7"/>
        <v>1492</v>
      </c>
      <c r="I38" s="16">
        <f t="shared" si="7"/>
        <v>952</v>
      </c>
      <c r="J38" s="17">
        <f t="shared" si="7"/>
        <v>480</v>
      </c>
      <c r="K38" s="14">
        <f t="shared" si="7"/>
        <v>2022</v>
      </c>
      <c r="L38" s="14">
        <f t="shared" si="7"/>
        <v>2059</v>
      </c>
    </row>
    <row r="39" spans="1:12" ht="11.25">
      <c r="A39" s="2" t="s">
        <v>33</v>
      </c>
      <c r="B39" s="2"/>
      <c r="C39" s="25">
        <v>638</v>
      </c>
      <c r="D39" s="18">
        <f>E39+323</f>
        <v>409</v>
      </c>
      <c r="E39" s="18">
        <f>F39-18</f>
        <v>86</v>
      </c>
      <c r="F39" s="18">
        <v>104</v>
      </c>
      <c r="G39" s="19">
        <f>473+H39</f>
        <v>1665</v>
      </c>
      <c r="H39" s="18">
        <f>475+I39</f>
        <v>1192</v>
      </c>
      <c r="I39" s="18">
        <f>260+J39</f>
        <v>717</v>
      </c>
      <c r="J39" s="20">
        <v>457</v>
      </c>
      <c r="K39" s="18">
        <v>923</v>
      </c>
      <c r="L39" s="18">
        <v>1499</v>
      </c>
    </row>
    <row r="40" spans="1:12" ht="11.25">
      <c r="A40" s="9" t="s">
        <v>34</v>
      </c>
      <c r="D40" s="14"/>
      <c r="E40" s="14"/>
      <c r="G40" s="15"/>
      <c r="H40" s="16"/>
      <c r="I40" s="16"/>
      <c r="J40" s="17"/>
      <c r="K40" s="14"/>
      <c r="L40" s="14"/>
    </row>
    <row r="41" spans="1:12" ht="11.25">
      <c r="A41" s="1" t="s">
        <v>35</v>
      </c>
      <c r="C41" s="14">
        <v>3168</v>
      </c>
      <c r="D41" s="14">
        <v>3863</v>
      </c>
      <c r="E41" s="14">
        <v>4175</v>
      </c>
      <c r="F41" s="14">
        <v>3417</v>
      </c>
      <c r="G41" s="15">
        <v>2788</v>
      </c>
      <c r="H41" s="16">
        <v>882</v>
      </c>
      <c r="I41" s="16">
        <v>1406</v>
      </c>
      <c r="J41" s="17">
        <v>1652</v>
      </c>
      <c r="K41" s="14">
        <v>2213</v>
      </c>
      <c r="L41" s="14">
        <v>430</v>
      </c>
    </row>
    <row r="42" spans="1:12" ht="11.25">
      <c r="A42" s="1" t="s">
        <v>36</v>
      </c>
      <c r="C42" s="14">
        <v>3189</v>
      </c>
      <c r="D42" s="14">
        <v>2936</v>
      </c>
      <c r="E42" s="14">
        <v>3069</v>
      </c>
      <c r="F42" s="14">
        <v>2422</v>
      </c>
      <c r="G42" s="15">
        <v>1655</v>
      </c>
      <c r="H42" s="16">
        <v>1289</v>
      </c>
      <c r="I42" s="16">
        <v>1210</v>
      </c>
      <c r="J42" s="17">
        <v>1172</v>
      </c>
      <c r="K42" s="14">
        <v>1158</v>
      </c>
      <c r="L42" s="14">
        <v>1511</v>
      </c>
    </row>
    <row r="43" spans="1:12" ht="11.25">
      <c r="A43" s="1" t="s">
        <v>37</v>
      </c>
      <c r="C43" s="26">
        <f aca="true" t="shared" si="8" ref="C43:L43">C41/C12</f>
        <v>0.030490563132212396</v>
      </c>
      <c r="D43" s="26">
        <f t="shared" si="8"/>
        <v>0.03566383854796569</v>
      </c>
      <c r="E43" s="26">
        <f t="shared" si="8"/>
        <v>0.03937787670716064</v>
      </c>
      <c r="F43" s="26">
        <f t="shared" si="8"/>
        <v>0.03492722217679287</v>
      </c>
      <c r="G43" s="27">
        <f t="shared" si="8"/>
        <v>0.02723188122680211</v>
      </c>
      <c r="H43" s="28">
        <f t="shared" si="8"/>
        <v>0.008678625195564258</v>
      </c>
      <c r="I43" s="28">
        <f t="shared" si="8"/>
        <v>0.014183967879264774</v>
      </c>
      <c r="J43" s="29">
        <f t="shared" si="8"/>
        <v>0.017487403141804633</v>
      </c>
      <c r="K43" s="26">
        <f t="shared" si="8"/>
        <v>0.02304560175783894</v>
      </c>
      <c r="L43" s="26">
        <f t="shared" si="8"/>
        <v>0.00447408671404343</v>
      </c>
    </row>
    <row r="44" spans="1:12" ht="11.25">
      <c r="A44" s="1" t="s">
        <v>38</v>
      </c>
      <c r="C44" s="26">
        <f aca="true" t="shared" si="9" ref="C44:L44">C42/C41</f>
        <v>1.0066287878787878</v>
      </c>
      <c r="D44" s="26">
        <f t="shared" si="9"/>
        <v>0.760031063939943</v>
      </c>
      <c r="E44" s="26">
        <f t="shared" si="9"/>
        <v>0.7350898203592814</v>
      </c>
      <c r="F44" s="26">
        <f t="shared" si="9"/>
        <v>0.7088088966930055</v>
      </c>
      <c r="G44" s="27">
        <f t="shared" si="9"/>
        <v>0.5936154949784792</v>
      </c>
      <c r="H44" s="28">
        <f t="shared" si="9"/>
        <v>1.461451247165533</v>
      </c>
      <c r="I44" s="28">
        <f t="shared" si="9"/>
        <v>0.8605974395448079</v>
      </c>
      <c r="J44" s="29">
        <f t="shared" si="9"/>
        <v>0.7094430992736077</v>
      </c>
      <c r="K44" s="26">
        <f t="shared" si="9"/>
        <v>0.5232715770447357</v>
      </c>
      <c r="L44" s="26">
        <f t="shared" si="9"/>
        <v>3.513953488372093</v>
      </c>
    </row>
    <row r="45" spans="1:12" ht="11.25">
      <c r="A45" s="2" t="s">
        <v>39</v>
      </c>
      <c r="B45" s="2"/>
      <c r="C45" s="30">
        <f aca="true" t="shared" si="10" ref="C45:L45">C42/C12</f>
        <v>0.03069267860752062</v>
      </c>
      <c r="D45" s="30">
        <f t="shared" si="10"/>
        <v>0.02710562515579272</v>
      </c>
      <c r="E45" s="30">
        <f t="shared" si="10"/>
        <v>0.02894627631479665</v>
      </c>
      <c r="F45" s="30">
        <f t="shared" si="10"/>
        <v>0.02475672581568403</v>
      </c>
      <c r="G45" s="31">
        <f t="shared" si="10"/>
        <v>0.01616526665364329</v>
      </c>
      <c r="H45" s="30">
        <f t="shared" si="10"/>
        <v>0.012683387615739602</v>
      </c>
      <c r="I45" s="30">
        <f t="shared" si="10"/>
        <v>0.012206686439481064</v>
      </c>
      <c r="J45" s="32">
        <f t="shared" si="10"/>
        <v>0.012406317483168904</v>
      </c>
      <c r="K45" s="30">
        <f t="shared" si="10"/>
        <v>0.012059108375769316</v>
      </c>
      <c r="L45" s="30">
        <f t="shared" si="10"/>
        <v>0.015721732616092145</v>
      </c>
    </row>
    <row r="46" spans="1:10" ht="11.25">
      <c r="A46" s="9" t="s">
        <v>40</v>
      </c>
      <c r="G46" s="21"/>
      <c r="H46" s="22"/>
      <c r="I46" s="22"/>
      <c r="J46" s="23"/>
    </row>
    <row r="47" spans="1:12" ht="11.25">
      <c r="A47" s="1" t="s">
        <v>41</v>
      </c>
      <c r="C47" s="26">
        <f aca="true" t="shared" si="11" ref="C47:L47">C24/(C12+C15)</f>
        <v>0.0853697269516174</v>
      </c>
      <c r="D47" s="26">
        <f t="shared" si="11"/>
        <v>0.06345264362934719</v>
      </c>
      <c r="E47" s="26">
        <f t="shared" si="11"/>
        <v>0.06177846525315023</v>
      </c>
      <c r="F47" s="26">
        <f t="shared" si="11"/>
        <v>0.06713549758770136</v>
      </c>
      <c r="G47" s="27">
        <f t="shared" si="11"/>
        <v>0.07944911115452237</v>
      </c>
      <c r="H47" s="28">
        <f t="shared" si="11"/>
        <v>0.057975577837034706</v>
      </c>
      <c r="I47" s="28">
        <f t="shared" si="11"/>
        <v>0.05463753202994169</v>
      </c>
      <c r="J47" s="29">
        <f t="shared" si="11"/>
        <v>0.05462167083033408</v>
      </c>
      <c r="K47" s="26">
        <f t="shared" si="11"/>
        <v>0.058431482812125755</v>
      </c>
      <c r="L47" s="26">
        <f t="shared" si="11"/>
        <v>0.048829974300013526</v>
      </c>
    </row>
    <row r="48" spans="1:12" ht="11.25">
      <c r="A48" s="2" t="s">
        <v>42</v>
      </c>
      <c r="B48" s="2"/>
      <c r="C48" s="30">
        <f>C24/C12</f>
        <v>0.0853697269516174</v>
      </c>
      <c r="D48" s="30">
        <f aca="true" t="shared" si="12" ref="D48:L48">D24/D10</f>
        <v>0.03913875380112297</v>
      </c>
      <c r="E48" s="30">
        <f t="shared" si="12"/>
        <v>0.037340022232990336</v>
      </c>
      <c r="F48" s="30">
        <f t="shared" si="12"/>
        <v>0.036493754722851934</v>
      </c>
      <c r="G48" s="31">
        <f t="shared" si="12"/>
        <v>0.04281999178765832</v>
      </c>
      <c r="H48" s="30">
        <f t="shared" si="12"/>
        <v>0.03290388513796512</v>
      </c>
      <c r="I48" s="30">
        <f t="shared" si="12"/>
        <v>0.02919975630927157</v>
      </c>
      <c r="J48" s="32">
        <f t="shared" si="12"/>
        <v>0.027928122970339902</v>
      </c>
      <c r="K48" s="30">
        <f t="shared" si="12"/>
        <v>0.03101525059283294</v>
      </c>
      <c r="L48" s="30">
        <f t="shared" si="12"/>
        <v>0.02572282057606402</v>
      </c>
    </row>
    <row r="49" spans="1:12" ht="11.25">
      <c r="A49" s="9" t="s">
        <v>43</v>
      </c>
      <c r="F49" s="33"/>
      <c r="G49" s="34"/>
      <c r="H49" s="35"/>
      <c r="I49" s="35"/>
      <c r="J49" s="36"/>
      <c r="K49" s="33"/>
      <c r="L49" s="33"/>
    </row>
    <row r="50" spans="1:12" ht="11.25">
      <c r="A50" s="1" t="s">
        <v>44</v>
      </c>
      <c r="C50" s="33">
        <f aca="true" t="shared" si="13" ref="C50:L50">C11/C16</f>
        <v>0.45433728282890296</v>
      </c>
      <c r="D50" s="33">
        <f t="shared" si="13"/>
        <v>0.3739418825015793</v>
      </c>
      <c r="E50" s="33">
        <f t="shared" si="13"/>
        <v>0.38422928178544075</v>
      </c>
      <c r="F50" s="33">
        <f t="shared" si="13"/>
        <v>0.45449566464206376</v>
      </c>
      <c r="G50" s="34">
        <f t="shared" si="13"/>
        <v>0.4402302382753404</v>
      </c>
      <c r="H50" s="35">
        <f t="shared" si="13"/>
        <v>0.41225531289965306</v>
      </c>
      <c r="I50" s="35">
        <f t="shared" si="13"/>
        <v>0.45411127494463277</v>
      </c>
      <c r="J50" s="36">
        <f t="shared" si="13"/>
        <v>0.47106174552681557</v>
      </c>
      <c r="K50" s="33">
        <f t="shared" si="13"/>
        <v>0.45604133355606996</v>
      </c>
      <c r="L50" s="33">
        <f t="shared" si="13"/>
        <v>0.46221996167585344</v>
      </c>
    </row>
    <row r="51" spans="1:12" ht="11.25">
      <c r="A51" s="1" t="s">
        <v>45</v>
      </c>
      <c r="C51" s="33">
        <f aca="true" t="shared" si="14" ref="C51:L51">C11/C10</f>
        <v>0.3992285906945381</v>
      </c>
      <c r="D51" s="33">
        <f t="shared" si="14"/>
        <v>0.33708984886621185</v>
      </c>
      <c r="E51" s="33">
        <f t="shared" si="14"/>
        <v>0.34605934498190005</v>
      </c>
      <c r="F51" s="33">
        <f t="shared" si="14"/>
        <v>0.41036582655465176</v>
      </c>
      <c r="G51" s="34">
        <f t="shared" si="14"/>
        <v>0.39216037229282263</v>
      </c>
      <c r="H51" s="35">
        <f t="shared" si="14"/>
        <v>0.37623906135692226</v>
      </c>
      <c r="I51" s="35">
        <f t="shared" si="14"/>
        <v>0.41676505949396436</v>
      </c>
      <c r="J51" s="36">
        <f t="shared" si="14"/>
        <v>0.4336057588222559</v>
      </c>
      <c r="K51" s="33">
        <f t="shared" si="14"/>
        <v>0.42251714931651474</v>
      </c>
      <c r="L51" s="33">
        <f t="shared" si="14"/>
        <v>0.4283701937570227</v>
      </c>
    </row>
    <row r="52" spans="1:12" ht="11.25">
      <c r="A52" s="2" t="s">
        <v>46</v>
      </c>
      <c r="B52" s="2"/>
      <c r="C52" s="37">
        <f aca="true" t="shared" si="15" ref="C52:L52">(C11+C15)/C16</f>
        <v>0.45433728282890296</v>
      </c>
      <c r="D52" s="37">
        <f t="shared" si="15"/>
        <v>0.3739418825015793</v>
      </c>
      <c r="E52" s="37">
        <f t="shared" si="15"/>
        <v>0.38422928178544075</v>
      </c>
      <c r="F52" s="37">
        <f t="shared" si="15"/>
        <v>0.45449566464206376</v>
      </c>
      <c r="G52" s="38">
        <f t="shared" si="15"/>
        <v>0.4402302382753404</v>
      </c>
      <c r="H52" s="37">
        <f t="shared" si="15"/>
        <v>0.41225531289965306</v>
      </c>
      <c r="I52" s="37">
        <f t="shared" si="15"/>
        <v>0.45411127494463277</v>
      </c>
      <c r="J52" s="39">
        <f t="shared" si="15"/>
        <v>0.47106174552681557</v>
      </c>
      <c r="K52" s="37">
        <f t="shared" si="15"/>
        <v>0.45604133355606996</v>
      </c>
      <c r="L52" s="37">
        <f t="shared" si="15"/>
        <v>0.46221996167585344</v>
      </c>
    </row>
    <row r="53" spans="1:10" ht="11.25">
      <c r="A53" s="9" t="s">
        <v>47</v>
      </c>
      <c r="G53" s="21"/>
      <c r="H53" s="22"/>
      <c r="I53" s="22"/>
      <c r="J53" s="23"/>
    </row>
    <row r="54" spans="1:12" ht="11.25">
      <c r="A54" s="1" t="s">
        <v>48</v>
      </c>
      <c r="B54" s="22"/>
      <c r="C54" s="40">
        <f>C39/C27</f>
        <v>0.00618573693166118</v>
      </c>
      <c r="D54" s="40">
        <f>(D39/0.75)/D27</f>
        <v>0.0051949866473601156</v>
      </c>
      <c r="E54" s="26">
        <f>(E39/0.5)/E27</f>
        <v>0.0016768218376797465</v>
      </c>
      <c r="F54" s="26">
        <f>((F39)/0.25)/F27</f>
        <v>0.004326573062922517</v>
      </c>
      <c r="G54" s="41">
        <f>G39/G27</f>
        <v>0.016783682027347827</v>
      </c>
      <c r="H54" s="40">
        <f>(H39/0.75)/H27</f>
        <v>0.016717066799898324</v>
      </c>
      <c r="I54" s="40">
        <f>(I39/0.5)/I27</f>
        <v>0.015579928619155489</v>
      </c>
      <c r="J54" s="29">
        <f>((J39)/0.25)/J27</f>
        <v>0.020126395525510318</v>
      </c>
      <c r="K54" s="26">
        <f>K39/K27</f>
        <v>0.009607777824041304</v>
      </c>
      <c r="L54" s="26">
        <f>L39/L27</f>
        <v>0.017289504036908883</v>
      </c>
    </row>
    <row r="55" spans="1:12" ht="11.25">
      <c r="A55" s="1" t="s">
        <v>49</v>
      </c>
      <c r="B55" s="22"/>
      <c r="C55" s="40">
        <f>C39/C26</f>
        <v>0.0033996477794385254</v>
      </c>
      <c r="D55" s="40">
        <f>(D39/0.75)/D26</f>
        <v>0.0030751330568345118</v>
      </c>
      <c r="E55" s="26">
        <f>(E39/0.5)/E26</f>
        <v>0.0009531831885086008</v>
      </c>
      <c r="F55" s="26">
        <f>((F39)/0.25)/F26</f>
        <v>0.0022811019477101246</v>
      </c>
      <c r="G55" s="41">
        <f>G39/G26</f>
        <v>0.008978911691190151</v>
      </c>
      <c r="H55" s="40">
        <f>(H39/0.75)/H26</f>
        <v>0.009035205656099379</v>
      </c>
      <c r="I55" s="40">
        <f>(I39/0.5)/I26</f>
        <v>0.017014933907202833</v>
      </c>
      <c r="J55" s="29">
        <f>((J39)/0.25)/J26</f>
        <v>0.01028549565060824</v>
      </c>
      <c r="K55" s="26">
        <f>K39/K26</f>
        <v>0.005080417001508163</v>
      </c>
      <c r="L55" s="26">
        <f>L39/L26</f>
        <v>0.008773572758027322</v>
      </c>
    </row>
    <row r="56" spans="1:12" ht="11.25">
      <c r="A56" s="1" t="s">
        <v>50</v>
      </c>
      <c r="B56" s="22"/>
      <c r="C56" s="40">
        <f>+C39/C30</f>
        <v>0.07504116678428605</v>
      </c>
      <c r="D56" s="40">
        <f>(D39/0.75)/D30</f>
        <v>0.08544196370283327</v>
      </c>
      <c r="E56" s="26">
        <f>(E39/0.5)/E30</f>
        <v>0.028748119672405148</v>
      </c>
      <c r="F56" s="26">
        <f>((F39)/0.25)/F30</f>
        <v>0.07094133697135062</v>
      </c>
      <c r="G56" s="41">
        <f>+G39/G30</f>
        <v>0.24226991633321207</v>
      </c>
      <c r="H56" s="40">
        <f>(H39/0.75)/H30</f>
        <v>0.32004295878641426</v>
      </c>
      <c r="I56" s="40">
        <f>(I39/0.5)/I30</f>
        <v>0.30365272631021706</v>
      </c>
      <c r="J56" s="29">
        <f>((J39)/0.25)/J30</f>
        <v>0.35191067475214166</v>
      </c>
      <c r="K56" s="26">
        <f>K39/K30</f>
        <v>0.17915372670807453</v>
      </c>
      <c r="L56" s="26">
        <f>L39/L30</f>
        <v>0.36440986994044</v>
      </c>
    </row>
    <row r="57" spans="1:12" ht="11.25">
      <c r="A57" s="1" t="s">
        <v>51</v>
      </c>
      <c r="B57" s="22"/>
      <c r="C57" s="40">
        <f>C32/C27</f>
        <v>0.11692787993077404</v>
      </c>
      <c r="D57" s="40">
        <f>(D32/0.75)/D27</f>
        <v>0.11966251639310427</v>
      </c>
      <c r="E57" s="26">
        <f>(E32/0.5)/E27</f>
        <v>0.12819887886912015</v>
      </c>
      <c r="F57" s="26">
        <f>((F32)/0.25)/F27</f>
        <v>0.14248569942797712</v>
      </c>
      <c r="G57" s="41">
        <f>G32/G27</f>
        <v>0.14480335875246336</v>
      </c>
      <c r="H57" s="40">
        <f>(H32/0.75)/H27</f>
        <v>0.14781701683802712</v>
      </c>
      <c r="I57" s="40">
        <f>(I32/0.5)/I27</f>
        <v>0.15058424732321832</v>
      </c>
      <c r="J57" s="29">
        <f>((J32)/0.25)/J27</f>
        <v>0.15030938277585712</v>
      </c>
      <c r="K57" s="26">
        <f>K32/K27</f>
        <v>0.12847149935462382</v>
      </c>
      <c r="L57" s="26">
        <f>L32/L26</f>
        <v>0.07191520245355684</v>
      </c>
    </row>
    <row r="58" spans="1:12" ht="11.25">
      <c r="A58" s="1" t="s">
        <v>52</v>
      </c>
      <c r="B58" s="22"/>
      <c r="C58" s="40">
        <f>C33/C27</f>
        <v>0.06756802613910151</v>
      </c>
      <c r="D58" s="40">
        <f>(D33/0.75)/D27</f>
        <v>0.07147234685744588</v>
      </c>
      <c r="E58" s="26">
        <f>(E33/0.5)/E27</f>
        <v>0.07810870095052401</v>
      </c>
      <c r="F58" s="26">
        <f>((F33)/0.25)/F27</f>
        <v>0.08848673946957879</v>
      </c>
      <c r="G58" s="41">
        <f>G33/G27</f>
        <v>0.09228505042664825</v>
      </c>
      <c r="H58" s="40">
        <f>(H33/0.75)/H27</f>
        <v>0.09561825624304258</v>
      </c>
      <c r="I58" s="40">
        <f>(I33/0.5)/I27</f>
        <v>0.0965216777214626</v>
      </c>
      <c r="J58" s="29">
        <f>((J33)/0.25)/J27</f>
        <v>0.09288089313632661</v>
      </c>
      <c r="K58" s="26">
        <f>K33/K27</f>
        <v>0.07927717866511222</v>
      </c>
      <c r="L58" s="26">
        <f>L33/L26</f>
        <v>0.04493895372657357</v>
      </c>
    </row>
    <row r="59" spans="1:12" ht="11.25">
      <c r="A59" s="1" t="s">
        <v>53</v>
      </c>
      <c r="B59" s="22"/>
      <c r="C59" s="40">
        <f>C34/C27</f>
        <v>0.04935985379167252</v>
      </c>
      <c r="D59" s="40">
        <f>(D34/0.75)/D27</f>
        <v>0.04819016953565838</v>
      </c>
      <c r="E59" s="26">
        <f>(E34/0.5)/E27</f>
        <v>0.05009017791859615</v>
      </c>
      <c r="F59" s="26">
        <f>((F34)/0.25)/F27</f>
        <v>0.05399895995839834</v>
      </c>
      <c r="G59" s="41">
        <f>G34/G27</f>
        <v>0.05251830832581512</v>
      </c>
      <c r="H59" s="40">
        <f>(H34/0.75)/H27</f>
        <v>0.05219876059498453</v>
      </c>
      <c r="I59" s="40">
        <f>(I34/0.5)/I27</f>
        <v>0.054062569601755726</v>
      </c>
      <c r="J59" s="29">
        <f>((J34)/0.25)/J27</f>
        <v>0.05742848963953053</v>
      </c>
      <c r="K59" s="26">
        <f>K34/K27</f>
        <v>0.04919432068951159</v>
      </c>
      <c r="L59" s="26">
        <f>L34/L26</f>
        <v>0.026976248726983273</v>
      </c>
    </row>
    <row r="60" spans="1:12" ht="11.25">
      <c r="A60" s="1" t="s">
        <v>54</v>
      </c>
      <c r="B60" s="22"/>
      <c r="C60" s="40">
        <f>C37/C36</f>
        <v>0.6336648359804067</v>
      </c>
      <c r="D60" s="40">
        <f>(D37/0.75)/(D36/0.75)</f>
        <v>0.619408945686901</v>
      </c>
      <c r="E60" s="26">
        <f>(E37/0.5)/(E36/0.5)</f>
        <v>0.6229363207547169</v>
      </c>
      <c r="F60" s="26">
        <f>(F37/0.25)/(F36/0.25)</f>
        <v>0.6178571428571429</v>
      </c>
      <c r="G60" s="41">
        <f>G37/G36</f>
        <v>0.6770338372930166</v>
      </c>
      <c r="H60" s="40">
        <f>(H37/0.75)/(H36/0.75)</f>
        <v>0.7005218787635487</v>
      </c>
      <c r="I60" s="40">
        <f>(I37/0.5)/(I36/0.5)</f>
        <v>0.7141141141141141</v>
      </c>
      <c r="J60" s="29">
        <f>(J37/0.25)/(J36/0.25)</f>
        <v>0.7166469893742621</v>
      </c>
      <c r="K60" s="26">
        <f>K37/K36</f>
        <v>0.7224814713148504</v>
      </c>
      <c r="L60" s="26">
        <f>L37/L36</f>
        <v>0.6947820930922027</v>
      </c>
    </row>
    <row r="61" spans="1:12" ht="11.25">
      <c r="A61" s="2" t="s">
        <v>55</v>
      </c>
      <c r="B61" s="2"/>
      <c r="C61" s="42">
        <f>C35/C27</f>
        <v>0.015958813463188563</v>
      </c>
      <c r="D61" s="42">
        <f>(D35/0.75)/D27</f>
        <v>0.01541983811710313</v>
      </c>
      <c r="E61" s="30">
        <f>(E35/0.5)/E27</f>
        <v>0.016046795028028273</v>
      </c>
      <c r="F61" s="30">
        <f>(F35/0.25)/F27</f>
        <v>0.015891835673426936</v>
      </c>
      <c r="G61" s="43">
        <f>G35/G27</f>
        <v>0.017489302292761848</v>
      </c>
      <c r="H61" s="42">
        <f>(H35/0.75)/H27</f>
        <v>0.017670724973046885</v>
      </c>
      <c r="I61" s="42">
        <f>(I35/0.5)/I27</f>
        <v>0.018296094696414116</v>
      </c>
      <c r="J61" s="32">
        <f>(J35/0.25)/J27</f>
        <v>0.017175698588509897</v>
      </c>
      <c r="K61" s="30">
        <f>K35/K27</f>
        <v>0.02664779114793688</v>
      </c>
      <c r="L61" s="30">
        <f>L35/L26</f>
        <v>0.012507755159375841</v>
      </c>
    </row>
    <row r="62" spans="1:10" ht="11.25">
      <c r="A62" s="9" t="s">
        <v>56</v>
      </c>
      <c r="G62" s="21"/>
      <c r="H62" s="22"/>
      <c r="I62" s="22"/>
      <c r="J62" s="23"/>
    </row>
    <row r="63" spans="1:12" ht="11.25">
      <c r="A63" s="1" t="s">
        <v>57</v>
      </c>
      <c r="C63" s="14">
        <v>44</v>
      </c>
      <c r="D63" s="14">
        <v>56</v>
      </c>
      <c r="E63" s="14">
        <v>59</v>
      </c>
      <c r="F63" s="14">
        <v>60</v>
      </c>
      <c r="G63" s="15">
        <v>60</v>
      </c>
      <c r="H63" s="16">
        <v>58</v>
      </c>
      <c r="I63" s="16">
        <v>46</v>
      </c>
      <c r="J63" s="17">
        <v>62</v>
      </c>
      <c r="K63" s="14">
        <v>63</v>
      </c>
      <c r="L63" s="14">
        <v>63</v>
      </c>
    </row>
    <row r="64" spans="1:12" ht="11.25">
      <c r="A64" s="1" t="s">
        <v>58</v>
      </c>
      <c r="C64" s="14">
        <v>3</v>
      </c>
      <c r="D64" s="14">
        <v>2</v>
      </c>
      <c r="E64" s="14">
        <v>2</v>
      </c>
      <c r="F64" s="14">
        <v>2</v>
      </c>
      <c r="G64" s="15">
        <v>2</v>
      </c>
      <c r="H64" s="16">
        <v>2</v>
      </c>
      <c r="I64" s="16">
        <v>2</v>
      </c>
      <c r="J64" s="17">
        <v>2</v>
      </c>
      <c r="K64" s="14">
        <v>2</v>
      </c>
      <c r="L64" s="14">
        <v>2</v>
      </c>
    </row>
    <row r="65" spans="1:12" ht="11.25">
      <c r="A65" s="1" t="s">
        <v>59</v>
      </c>
      <c r="C65" s="14">
        <f aca="true" t="shared" si="16" ref="C65:L65">C12/C63</f>
        <v>2361.3863636363635</v>
      </c>
      <c r="D65" s="14">
        <f t="shared" si="16"/>
        <v>1934.232142857143</v>
      </c>
      <c r="E65" s="14">
        <f t="shared" si="16"/>
        <v>1797.0169491525423</v>
      </c>
      <c r="F65" s="14">
        <f t="shared" si="16"/>
        <v>1630.5333333333333</v>
      </c>
      <c r="G65" s="15">
        <f t="shared" si="16"/>
        <v>1706.3333333333333</v>
      </c>
      <c r="H65" s="16">
        <f t="shared" si="16"/>
        <v>1752.2241379310344</v>
      </c>
      <c r="I65" s="16">
        <f t="shared" si="16"/>
        <v>2154.913043478261</v>
      </c>
      <c r="J65" s="17">
        <f t="shared" si="16"/>
        <v>1523.6774193548388</v>
      </c>
      <c r="K65" s="14">
        <f t="shared" si="16"/>
        <v>1524.2380952380952</v>
      </c>
      <c r="L65" s="14">
        <f t="shared" si="16"/>
        <v>1525.5396825396826</v>
      </c>
    </row>
    <row r="66" spans="1:12" ht="11.25">
      <c r="A66" s="1" t="s">
        <v>60</v>
      </c>
      <c r="C66" s="14">
        <f aca="true" t="shared" si="17" ref="C66:L66">C16/C63</f>
        <v>3702.0454545454545</v>
      </c>
      <c r="D66" s="14">
        <f t="shared" si="17"/>
        <v>2826.785714285714</v>
      </c>
      <c r="E66" s="14">
        <f t="shared" si="17"/>
        <v>2677.7796610169494</v>
      </c>
      <c r="F66" s="14">
        <f t="shared" si="17"/>
        <v>2708.35</v>
      </c>
      <c r="G66" s="15">
        <f t="shared" si="17"/>
        <v>2820.266666666667</v>
      </c>
      <c r="H66" s="16">
        <f t="shared" si="17"/>
        <v>2817.637931034483</v>
      </c>
      <c r="I66" s="16">
        <f t="shared" si="17"/>
        <v>3700.586956521739</v>
      </c>
      <c r="J66" s="17">
        <f t="shared" si="17"/>
        <v>2743.048387096774</v>
      </c>
      <c r="K66" s="14">
        <f t="shared" si="17"/>
        <v>2660.5079365079364</v>
      </c>
      <c r="L66" s="14">
        <f t="shared" si="17"/>
        <v>2683.873015873016</v>
      </c>
    </row>
    <row r="67" spans="1:12" ht="11.25">
      <c r="A67" s="2" t="s">
        <v>61</v>
      </c>
      <c r="B67" s="2"/>
      <c r="C67" s="18">
        <f aca="true" t="shared" si="18" ref="C67:L67">(C39/C63)</f>
        <v>14.5</v>
      </c>
      <c r="D67" s="18">
        <f t="shared" si="18"/>
        <v>7.303571428571429</v>
      </c>
      <c r="E67" s="18">
        <f t="shared" si="18"/>
        <v>1.4576271186440677</v>
      </c>
      <c r="F67" s="18">
        <f t="shared" si="18"/>
        <v>1.7333333333333334</v>
      </c>
      <c r="G67" s="19">
        <f t="shared" si="18"/>
        <v>27.75</v>
      </c>
      <c r="H67" s="18">
        <f t="shared" si="18"/>
        <v>20.551724137931036</v>
      </c>
      <c r="I67" s="18">
        <f t="shared" si="18"/>
        <v>15.58695652173913</v>
      </c>
      <c r="J67" s="20">
        <f t="shared" si="18"/>
        <v>7.370967741935484</v>
      </c>
      <c r="K67" s="18">
        <f t="shared" si="18"/>
        <v>14.65079365079365</v>
      </c>
      <c r="L67" s="18">
        <f t="shared" si="18"/>
        <v>23.793650793650794</v>
      </c>
    </row>
    <row r="68" spans="1:10" ht="11.25">
      <c r="A68" s="9" t="s">
        <v>62</v>
      </c>
      <c r="G68" s="21"/>
      <c r="H68" s="22"/>
      <c r="I68" s="22"/>
      <c r="J68" s="23"/>
    </row>
    <row r="69" spans="1:12" ht="11.25">
      <c r="A69" s="1" t="s">
        <v>63</v>
      </c>
      <c r="C69" s="26">
        <f>(C10/G10)-1</f>
        <v>-0.024126385832657693</v>
      </c>
      <c r="D69" s="26">
        <f>(D10/H10)-1</f>
        <v>-0.019327961042514774</v>
      </c>
      <c r="E69" s="26">
        <f>(E10/I10)-1</f>
        <v>-0.05426970956593935</v>
      </c>
      <c r="F69" s="26">
        <f>(F10/J10)-1</f>
        <v>-0.025893050443818955</v>
      </c>
      <c r="G69" s="27">
        <f>(G10/K10)-1</f>
        <v>0.050008014990796656</v>
      </c>
      <c r="H69" s="28">
        <f>(H10/172742)-1</f>
        <v>0.03661529911660155</v>
      </c>
      <c r="I69" s="28">
        <f>(I10/168558)-1</f>
        <v>0.10039867582671835</v>
      </c>
      <c r="J69" s="29">
        <f>(J10/170692)-1</f>
        <v>0.08241745365922237</v>
      </c>
      <c r="K69" s="26">
        <f>(K10/L10)-1</f>
        <v>-0.00840801337389352</v>
      </c>
      <c r="L69" s="26">
        <f>(L10/159263)-1</f>
        <v>0.14555797642892565</v>
      </c>
    </row>
    <row r="70" spans="1:12" ht="11.25">
      <c r="A70" s="1" t="s">
        <v>64</v>
      </c>
      <c r="C70" s="26">
        <f aca="true" t="shared" si="19" ref="C70:E72">(C12/G12)-1</f>
        <v>0.01485641726899778</v>
      </c>
      <c r="D70" s="26">
        <f t="shared" si="19"/>
        <v>0.06580798787747599</v>
      </c>
      <c r="E70" s="26">
        <f t="shared" si="19"/>
        <v>0.0695882008756532</v>
      </c>
      <c r="F70" s="26">
        <f>F12/J12-1</f>
        <v>0.03560994199093881</v>
      </c>
      <c r="G70" s="27">
        <f>(G12/K12)-1</f>
        <v>0.06615847626188476</v>
      </c>
      <c r="H70" s="28">
        <f>H12/88516-1</f>
        <v>0.14814270866284063</v>
      </c>
      <c r="I70" s="28">
        <f>I12/84957-1</f>
        <v>0.1667784879409584</v>
      </c>
      <c r="J70" s="29">
        <f>J12/87184-1</f>
        <v>0.0835474398972289</v>
      </c>
      <c r="K70" s="26">
        <f>(K12/L12)-1</f>
        <v>-0.0008531979315152816</v>
      </c>
      <c r="L70" s="26">
        <f>L12/77291-1</f>
        <v>0.2434694854510875</v>
      </c>
    </row>
    <row r="71" spans="2:12" ht="11.25">
      <c r="B71" s="1" t="s">
        <v>15</v>
      </c>
      <c r="C71" s="26">
        <f t="shared" si="19"/>
        <v>-0.005352817861722259</v>
      </c>
      <c r="D71" s="26">
        <f t="shared" si="19"/>
        <v>0.04575793304967446</v>
      </c>
      <c r="E71" s="26">
        <f t="shared" si="19"/>
        <v>0.0009680032827936724</v>
      </c>
      <c r="F71" s="26">
        <f>(F13/J13)-1</f>
        <v>0.06210760818200223</v>
      </c>
      <c r="G71" s="27">
        <f>(G13/K13)-1</f>
        <v>0.078921364105492</v>
      </c>
      <c r="H71" s="28">
        <f>(H13/84278)-1</f>
        <v>0.1573008377037899</v>
      </c>
      <c r="I71" s="28">
        <f>(I13/79915)-1</f>
        <v>0.18927610586247878</v>
      </c>
      <c r="J71" s="29">
        <f>(J13/80072)-1</f>
        <v>0.1099760215805774</v>
      </c>
      <c r="K71" s="26">
        <f>(K13/L13)-1</f>
        <v>0.017472127265008908</v>
      </c>
      <c r="L71" s="26">
        <f>(L13/77291)-1</f>
        <v>0.15814260392542479</v>
      </c>
    </row>
    <row r="72" spans="2:12" ht="11.25">
      <c r="B72" s="1" t="s">
        <v>16</v>
      </c>
      <c r="C72" s="26">
        <f t="shared" si="19"/>
        <v>0.4975692756441419</v>
      </c>
      <c r="D72" s="26">
        <f t="shared" si="19"/>
        <v>0.5434782608695652</v>
      </c>
      <c r="E72" s="26">
        <f t="shared" si="19"/>
        <v>1.66609547123623</v>
      </c>
      <c r="F72" s="26">
        <f>(F14/J14)-1</f>
        <v>-0.3856887298747764</v>
      </c>
      <c r="G72" s="27">
        <f>(G14/K14)-1</f>
        <v>-0.16872095372802587</v>
      </c>
      <c r="H72" s="28">
        <f>(H14/4238)-1</f>
        <v>-0.03397829164700328</v>
      </c>
      <c r="I72" s="28">
        <f>(I14/5042)-1</f>
        <v>-0.18980563268544226</v>
      </c>
      <c r="J72" s="29">
        <f>(J14/7112)-1</f>
        <v>-0.21400449943757027</v>
      </c>
      <c r="K72" s="26">
        <f>(K14/L14)-1</f>
        <v>-0.2495830174374526</v>
      </c>
      <c r="L72" s="26">
        <v>0</v>
      </c>
    </row>
    <row r="73" spans="1:12" ht="11.25">
      <c r="A73" s="1" t="s">
        <v>65</v>
      </c>
      <c r="C73" s="26">
        <f aca="true" t="shared" si="20" ref="C73:G74">(C16/G16)-1</f>
        <v>-0.03738417170953101</v>
      </c>
      <c r="D73" s="26">
        <f t="shared" si="20"/>
        <v>-0.03134809665714133</v>
      </c>
      <c r="E73" s="26">
        <f t="shared" si="20"/>
        <v>-0.07189223801159628</v>
      </c>
      <c r="F73" s="26">
        <f t="shared" si="20"/>
        <v>-0.044499585462371205</v>
      </c>
      <c r="G73" s="27">
        <f t="shared" si="20"/>
        <v>0.009569720545068439</v>
      </c>
      <c r="H73" s="28">
        <f>H16/159763-1</f>
        <v>0.022908933858277525</v>
      </c>
      <c r="I73" s="28">
        <f>I16/155660-1</f>
        <v>0.0935821662597971</v>
      </c>
      <c r="J73" s="29">
        <f>J16/156619-1</f>
        <v>0.08587719242237535</v>
      </c>
      <c r="K73" s="26">
        <f>(K16/L16)-1</f>
        <v>-0.00870573206217029</v>
      </c>
      <c r="L73" s="26">
        <f>L16/145208-1</f>
        <v>0.16442620241309025</v>
      </c>
    </row>
    <row r="74" spans="2:12" ht="11.25">
      <c r="B74" s="1" t="s">
        <v>15</v>
      </c>
      <c r="C74" s="26">
        <f t="shared" si="20"/>
        <v>-0.0750558089876735</v>
      </c>
      <c r="D74" s="26">
        <f t="shared" si="20"/>
        <v>-0.08807453025168643</v>
      </c>
      <c r="E74" s="26">
        <f t="shared" si="20"/>
        <v>-0.05116258282215447</v>
      </c>
      <c r="F74" s="26">
        <f t="shared" si="20"/>
        <v>0.0005467694180516514</v>
      </c>
      <c r="G74" s="27">
        <f t="shared" si="20"/>
        <v>0.5507224563515953</v>
      </c>
      <c r="H74" s="28">
        <f>(H17/59073)-1</f>
        <v>0.613545951619183</v>
      </c>
      <c r="I74" s="28">
        <f>(I17/57021)-1</f>
        <v>0.5695796285578998</v>
      </c>
      <c r="J74" s="29">
        <f>(J17/57455)-1</f>
        <v>0.6871116525976853</v>
      </c>
      <c r="K74" s="26">
        <f>(K17/L17)-1</f>
        <v>-0.006341229959320405</v>
      </c>
      <c r="L74" s="26">
        <f>(L17/45763)-1</f>
        <v>0.46109302274763464</v>
      </c>
    </row>
    <row r="75" spans="2:12" ht="11.25">
      <c r="B75" s="1" t="s">
        <v>16</v>
      </c>
      <c r="C75" s="26">
        <f>(C21/G21)-1</f>
        <v>0.02125827214214482</v>
      </c>
      <c r="D75" s="26">
        <f>(D21/H21)-1</f>
        <v>0.04804275687898274</v>
      </c>
      <c r="E75" s="26">
        <f>(E21/I21)-1</f>
        <v>-0.09487414527797045</v>
      </c>
      <c r="F75" s="26">
        <f>(F21/J21)-1</f>
        <v>-0.10420312841828916</v>
      </c>
      <c r="G75" s="27">
        <f>(G21/K21)-1</f>
        <v>-0.3458071403155023</v>
      </c>
      <c r="H75" s="28">
        <f>(H21/100690)-1</f>
        <v>-0.32360711093455163</v>
      </c>
      <c r="I75" s="28">
        <f>(I21/98638)-1</f>
        <v>-0.1815730245949837</v>
      </c>
      <c r="J75" s="29">
        <f>(J21/99165)-1</f>
        <v>-0.2624817223818887</v>
      </c>
      <c r="K75" s="26">
        <f>(K21/L21)-1</f>
        <v>-0.010252396791234575</v>
      </c>
      <c r="L75" s="26">
        <f>(L21/99445)-1</f>
        <v>0.02790487203982095</v>
      </c>
    </row>
    <row r="76" spans="1:12" ht="11.25">
      <c r="A76" s="1" t="s">
        <v>66</v>
      </c>
      <c r="C76" s="26">
        <f>(C24/G24)-1</f>
        <v>0.09048438652569457</v>
      </c>
      <c r="D76" s="26">
        <f>(D24/H24)-1</f>
        <v>0.1664969450101832</v>
      </c>
      <c r="E76" s="26">
        <f>(E24/I24)-1</f>
        <v>0.20937961595273258</v>
      </c>
      <c r="F76" s="26">
        <f>(F24/J24)-1</f>
        <v>0.27286821705426356</v>
      </c>
      <c r="G76" s="27">
        <f>(G24/K24)-1</f>
        <v>0.44965246836571016</v>
      </c>
      <c r="H76" s="28">
        <f>(H24/4040)-1</f>
        <v>0.4584158415841584</v>
      </c>
      <c r="I76" s="28">
        <f>(I24/4029)-1</f>
        <v>0.3442541573591462</v>
      </c>
      <c r="J76" s="29">
        <f>(J24/5229)-1</f>
        <v>-0.01319563970166382</v>
      </c>
      <c r="K76" s="26">
        <f>(K24/L24)-1</f>
        <v>0.19561048369912637</v>
      </c>
      <c r="L76" s="26">
        <f>(L24/3534)-1</f>
        <v>0.32795698924731176</v>
      </c>
    </row>
    <row r="77" spans="1:12" ht="11.25">
      <c r="A77" s="2" t="s">
        <v>67</v>
      </c>
      <c r="B77" s="2"/>
      <c r="C77" s="30">
        <f>(C39/G39)-1</f>
        <v>-0.6168168168168169</v>
      </c>
      <c r="D77" s="30">
        <f>(D39/H39)-1</f>
        <v>-0.6568791946308725</v>
      </c>
      <c r="E77" s="30">
        <f>(E39/I39)-1</f>
        <v>-0.8800557880055788</v>
      </c>
      <c r="F77" s="30">
        <f>(F39/J39)-1</f>
        <v>-0.7724288840262582</v>
      </c>
      <c r="G77" s="31">
        <f>(G39/K39)-1</f>
        <v>0.8039003250270855</v>
      </c>
      <c r="H77" s="30">
        <f>(H39/772)-1</f>
        <v>0.544041450777202</v>
      </c>
      <c r="I77" s="30">
        <f>(I39/895)-1</f>
        <v>-0.19888268156424582</v>
      </c>
      <c r="J77" s="32">
        <f>(J39/586)-1</f>
        <v>-0.2201365187713311</v>
      </c>
      <c r="K77" s="30">
        <f>(K39/L39)-1</f>
        <v>-0.3842561707805203</v>
      </c>
      <c r="L77" s="30">
        <f>(L39/1150)-1</f>
        <v>0.3034782608695652</v>
      </c>
    </row>
  </sheetData>
  <sheetProtection password="CD66" sheet="1" objects="1" scenarios="1"/>
  <mergeCells count="3">
    <mergeCell ref="G7:J7"/>
    <mergeCell ref="K7:L7"/>
    <mergeCell ref="C7:F7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418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2002-03-22T16:56:46Z</cp:lastPrinted>
  <dcterms:created xsi:type="dcterms:W3CDTF">2002-03-19T20:47:28Z</dcterms:created>
  <dcterms:modified xsi:type="dcterms:W3CDTF">2002-03-20T23:09:27Z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