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140" windowHeight="5835" activeTab="0"/>
  </bookViews>
  <sheets>
    <sheet name="Boston" sheetId="1" r:id="rId1"/>
  </sheets>
  <definedNames/>
  <calcPr fullCalcOnLoad="1"/>
</workbook>
</file>

<file path=xl/sharedStrings.xml><?xml version="1.0" encoding="utf-8"?>
<sst xmlns="http://schemas.openxmlformats.org/spreadsheetml/2006/main" count="84" uniqueCount="68">
  <si>
    <t>CUADRO No. 18-42</t>
  </si>
  <si>
    <t>BANKBOSTON NATIONAL ASSOCIATION</t>
  </si>
  <si>
    <t>ESTADISTICA FINANCIERA. AÑO  1999, TRIMESTRES DE 2000 Y 2001</t>
  </si>
  <si>
    <t>(En miles de balboas)</t>
  </si>
  <si>
    <t xml:space="preserve">Año 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</si>
  <si>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</si>
  <si>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</si>
  <si>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</si>
  <si>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</si>
  <si>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</si>
  <si>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</si>
  <si>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</si>
  <si>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</si>
  <si>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</si>
  <si>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</si>
  <si>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</si>
  <si>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</si>
  <si>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</si>
  <si>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</si>
  <si>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</si>
  <si>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</si>
  <si>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</si>
  <si>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</si>
  <si>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</si>
  <si>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</si>
  <si>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</si>
  <si>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</si>
  <si>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</si>
  <si>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</si>
  <si>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</si>
  <si>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</si>
  <si>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</si>
  <si>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</si>
  <si>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</si>
  <si>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</si>
  <si>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</si>
  <si>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</si>
  <si>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</si>
  <si>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</si>
  <si>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</si>
  <si>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</si>
  <si>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Activos Generadores de Ingreso</t>
  </si>
  <si>
    <t>Patrimonio /Préstamos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</si>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</sst>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31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_(* #,##0.0000_);_(* \(#,##0.0000\);_(* &quot;-&quot;??_);_(@_)"/>
    <numFmt numFmtId="183" formatCode="0.00000"/>
    <numFmt numFmtId="184" formatCode="0.0000"/>
    <numFmt numFmtId="185" formatCode="0.000"/>
    <numFmt numFmtId="186" formatCode="0.0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Alignment="1">
      <alignment/>
    </xf>
    <xf numFmtId="179" fontId="1" fillId="0" borderId="0" xfId="15" applyNumberFormat="1" applyFont="1" applyAlignment="1">
      <alignment/>
    </xf>
    <xf numFmtId="179" fontId="1" fillId="0" borderId="3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179" fontId="1" fillId="0" borderId="4" xfId="15" applyNumberFormat="1" applyFont="1" applyBorder="1" applyAlignment="1">
      <alignment/>
    </xf>
    <xf numFmtId="179" fontId="2" fillId="0" borderId="0" xfId="15" applyNumberFormat="1" applyFont="1" applyAlignment="1">
      <alignment/>
    </xf>
    <xf numFmtId="179" fontId="2" fillId="0" borderId="3" xfId="15" applyNumberFormat="1" applyFont="1" applyBorder="1" applyAlignment="1">
      <alignment/>
    </xf>
    <xf numFmtId="179" fontId="2" fillId="0" borderId="0" xfId="15" applyNumberFormat="1" applyFont="1" applyBorder="1" applyAlignment="1">
      <alignment/>
    </xf>
    <xf numFmtId="179" fontId="2" fillId="0" borderId="4" xfId="15" applyNumberFormat="1" applyFont="1" applyBorder="1" applyAlignment="1">
      <alignment/>
    </xf>
    <xf numFmtId="179" fontId="2" fillId="0" borderId="1" xfId="15" applyNumberFormat="1" applyFont="1" applyBorder="1" applyAlignment="1">
      <alignment/>
    </xf>
    <xf numFmtId="179" fontId="2" fillId="0" borderId="5" xfId="15" applyNumberFormat="1" applyFont="1" applyBorder="1" applyAlignment="1">
      <alignment/>
    </xf>
    <xf numFmtId="179" fontId="2" fillId="0" borderId="6" xfId="15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179" fontId="2" fillId="0" borderId="0" xfId="0" applyNumberFormat="1" applyFont="1" applyAlignment="1">
      <alignment/>
    </xf>
    <xf numFmtId="179" fontId="2" fillId="0" borderId="1" xfId="0" applyNumberFormat="1" applyFont="1" applyBorder="1" applyAlignment="1">
      <alignment/>
    </xf>
    <xf numFmtId="10" fontId="2" fillId="0" borderId="0" xfId="19" applyNumberFormat="1" applyFont="1" applyAlignment="1">
      <alignment/>
    </xf>
    <xf numFmtId="10" fontId="2" fillId="0" borderId="3" xfId="19" applyNumberFormat="1" applyFont="1" applyBorder="1" applyAlignment="1">
      <alignment/>
    </xf>
    <xf numFmtId="10" fontId="2" fillId="0" borderId="0" xfId="19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10" fontId="2" fillId="0" borderId="1" xfId="19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10" fontId="2" fillId="0" borderId="6" xfId="19" applyNumberFormat="1" applyFont="1" applyBorder="1" applyAlignment="1">
      <alignment/>
    </xf>
    <xf numFmtId="181" fontId="2" fillId="0" borderId="0" xfId="19" applyNumberFormat="1" applyFont="1" applyAlignment="1">
      <alignment/>
    </xf>
    <xf numFmtId="181" fontId="2" fillId="0" borderId="3" xfId="19" applyNumberFormat="1" applyFont="1" applyBorder="1" applyAlignment="1">
      <alignment/>
    </xf>
    <xf numFmtId="181" fontId="2" fillId="0" borderId="0" xfId="19" applyNumberFormat="1" applyFont="1" applyBorder="1" applyAlignment="1">
      <alignment/>
    </xf>
    <xf numFmtId="181" fontId="2" fillId="0" borderId="4" xfId="19" applyNumberFormat="1" applyFont="1" applyBorder="1" applyAlignment="1">
      <alignment/>
    </xf>
    <xf numFmtId="181" fontId="2" fillId="0" borderId="1" xfId="19" applyNumberFormat="1" applyFont="1" applyBorder="1" applyAlignment="1">
      <alignment/>
    </xf>
    <xf numFmtId="181" fontId="2" fillId="0" borderId="5" xfId="19" applyNumberFormat="1" applyFont="1" applyBorder="1" applyAlignment="1">
      <alignment/>
    </xf>
    <xf numFmtId="181" fontId="2" fillId="0" borderId="6" xfId="19" applyNumberFormat="1" applyFont="1" applyBorder="1" applyAlignment="1">
      <alignment/>
    </xf>
    <xf numFmtId="10" fontId="2" fillId="0" borderId="0" xfId="19" applyNumberFormat="1" applyFont="1" applyFill="1" applyBorder="1" applyAlignment="1">
      <alignment/>
    </xf>
    <xf numFmtId="10" fontId="2" fillId="0" borderId="3" xfId="19" applyNumberFormat="1" applyFont="1" applyFill="1" applyBorder="1" applyAlignment="1">
      <alignment/>
    </xf>
    <xf numFmtId="10" fontId="2" fillId="0" borderId="1" xfId="19" applyNumberFormat="1" applyFont="1" applyFill="1" applyBorder="1" applyAlignment="1">
      <alignment/>
    </xf>
    <xf numFmtId="10" fontId="2" fillId="0" borderId="5" xfId="19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8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11.421875" defaultRowHeight="12.75"/>
  <cols>
    <col min="1" max="1" width="1.8515625" style="1" customWidth="1"/>
    <col min="2" max="2" width="40.7109375" style="1" customWidth="1"/>
    <col min="3" max="3" width="8.421875" style="1" customWidth="1"/>
    <col min="4" max="4" width="10.140625" style="1" customWidth="1"/>
    <col min="5" max="5" width="7.7109375" style="1" bestFit="1" customWidth="1"/>
    <col min="6" max="6" width="8.00390625" style="1" bestFit="1" customWidth="1"/>
    <col min="7" max="7" width="8.421875" style="1" customWidth="1"/>
    <col min="8" max="8" width="9.8515625" style="1" customWidth="1"/>
    <col min="9" max="11" width="7.7109375" style="1" bestFit="1" customWidth="1"/>
    <col min="12" max="12" width="6.57421875" style="1" hidden="1" customWidth="1"/>
    <col min="13" max="16384" width="11.421875" style="1" customWidth="1"/>
  </cols>
  <sheetData>
    <row r="1" ht="11.25"/>
    <row r="2" spans="2:12" ht="9.75" customHeight="1">
      <c r="B2" s="40"/>
      <c r="C2" s="40"/>
      <c r="D2" s="40"/>
      <c r="E2" s="40"/>
      <c r="F2" s="40"/>
      <c r="G2" s="40" t="s">
        <v>0</v>
      </c>
      <c r="H2" s="40"/>
      <c r="I2" s="40"/>
      <c r="J2" s="40"/>
      <c r="K2" s="40"/>
      <c r="L2" s="40"/>
    </row>
    <row r="3" spans="2:12" ht="9.75" customHeight="1">
      <c r="B3" s="40"/>
      <c r="C3" s="40"/>
      <c r="D3" s="40"/>
      <c r="E3" s="40"/>
      <c r="F3" s="40"/>
      <c r="G3" s="40" t="s">
        <v>1</v>
      </c>
      <c r="H3" s="40"/>
      <c r="I3" s="40"/>
      <c r="J3" s="40"/>
      <c r="K3" s="40"/>
      <c r="L3" s="40"/>
    </row>
    <row r="4" spans="2:12" ht="11.25">
      <c r="B4" s="40"/>
      <c r="C4" s="40"/>
      <c r="D4" s="40"/>
      <c r="E4" s="40"/>
      <c r="F4" s="40"/>
      <c r="G4" s="40" t="s">
        <v>2</v>
      </c>
      <c r="H4" s="40"/>
      <c r="I4" s="40"/>
      <c r="J4" s="40"/>
      <c r="K4" s="40"/>
      <c r="L4" s="40"/>
    </row>
    <row r="5" spans="2:12" ht="11.25">
      <c r="B5" s="39"/>
      <c r="C5" s="39"/>
      <c r="D5" s="39"/>
      <c r="E5" s="39"/>
      <c r="F5" s="39"/>
      <c r="G5" s="39" t="s">
        <v>3</v>
      </c>
      <c r="H5" s="39"/>
      <c r="I5" s="39"/>
      <c r="J5" s="39"/>
      <c r="K5" s="39"/>
      <c r="L5" s="39"/>
    </row>
    <row r="6" spans="1:12" ht="11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1.25">
      <c r="A8" s="3"/>
      <c r="B8" s="3"/>
      <c r="C8" s="47">
        <v>2001</v>
      </c>
      <c r="D8" s="47"/>
      <c r="E8" s="47"/>
      <c r="F8" s="48"/>
      <c r="G8" s="46">
        <v>2000</v>
      </c>
      <c r="H8" s="47"/>
      <c r="I8" s="47"/>
      <c r="J8" s="48"/>
      <c r="K8" s="47" t="s">
        <v>4</v>
      </c>
      <c r="L8" s="47"/>
    </row>
    <row r="9" spans="1:12" s="4" customFormat="1" ht="11.25">
      <c r="A9" s="41"/>
      <c r="B9" s="41"/>
      <c r="C9" s="42" t="s">
        <v>5</v>
      </c>
      <c r="D9" s="41" t="s">
        <v>6</v>
      </c>
      <c r="E9" s="41" t="s">
        <v>7</v>
      </c>
      <c r="F9" s="41" t="s">
        <v>8</v>
      </c>
      <c r="G9" s="43" t="s">
        <v>5</v>
      </c>
      <c r="H9" s="41" t="s">
        <v>6</v>
      </c>
      <c r="I9" s="41" t="s">
        <v>7</v>
      </c>
      <c r="J9" s="44" t="s">
        <v>8</v>
      </c>
      <c r="K9" s="45" t="s">
        <v>9</v>
      </c>
      <c r="L9" s="45" t="s">
        <v>10</v>
      </c>
    </row>
    <row r="10" spans="1:12" ht="11.25">
      <c r="A10" s="4" t="s">
        <v>11</v>
      </c>
      <c r="B10" s="4"/>
      <c r="C10" s="4"/>
      <c r="D10" s="4"/>
      <c r="E10" s="4"/>
      <c r="F10" s="5"/>
      <c r="G10" s="6"/>
      <c r="H10" s="7"/>
      <c r="I10" s="7"/>
      <c r="J10" s="8"/>
      <c r="K10" s="5"/>
      <c r="L10" s="5"/>
    </row>
    <row r="11" spans="1:12" ht="11.25">
      <c r="A11" s="1" t="s">
        <v>12</v>
      </c>
      <c r="C11" s="9">
        <v>441875</v>
      </c>
      <c r="D11" s="9">
        <v>384592</v>
      </c>
      <c r="E11" s="9">
        <v>384940</v>
      </c>
      <c r="F11" s="9">
        <v>444980</v>
      </c>
      <c r="G11" s="10">
        <v>463990</v>
      </c>
      <c r="H11" s="11">
        <v>323073</v>
      </c>
      <c r="I11" s="11">
        <v>315556</v>
      </c>
      <c r="J11" s="12">
        <v>318107</v>
      </c>
      <c r="K11" s="9">
        <v>298994</v>
      </c>
      <c r="L11" s="9">
        <v>301793</v>
      </c>
    </row>
    <row r="12" spans="1:12" ht="11.25">
      <c r="A12" s="1" t="s">
        <v>13</v>
      </c>
      <c r="C12" s="9">
        <v>60735</v>
      </c>
      <c r="D12" s="9">
        <v>40031</v>
      </c>
      <c r="E12" s="9">
        <v>27284</v>
      </c>
      <c r="F12" s="9">
        <v>121315</v>
      </c>
      <c r="G12" s="10">
        <v>161955</v>
      </c>
      <c r="H12" s="11">
        <v>51968</v>
      </c>
      <c r="I12" s="11">
        <v>44526</v>
      </c>
      <c r="J12" s="12">
        <v>85473</v>
      </c>
      <c r="K12" s="9">
        <v>67459</v>
      </c>
      <c r="L12" s="9">
        <v>85635</v>
      </c>
    </row>
    <row r="13" spans="1:12" ht="11.25">
      <c r="A13" s="1" t="s">
        <v>14</v>
      </c>
      <c r="C13" s="9">
        <f aca="true" t="shared" si="0" ref="C13:L13">C14+C15</f>
        <v>319642</v>
      </c>
      <c r="D13" s="9">
        <f t="shared" si="0"/>
        <v>286378</v>
      </c>
      <c r="E13" s="9">
        <f t="shared" si="0"/>
        <v>293690</v>
      </c>
      <c r="F13" s="9">
        <f t="shared" si="0"/>
        <v>264235</v>
      </c>
      <c r="G13" s="10">
        <f t="shared" si="0"/>
        <v>268358</v>
      </c>
      <c r="H13" s="11">
        <f t="shared" si="0"/>
        <v>257485</v>
      </c>
      <c r="I13" s="11">
        <f t="shared" si="0"/>
        <v>258265</v>
      </c>
      <c r="J13" s="12">
        <f t="shared" si="0"/>
        <v>225439</v>
      </c>
      <c r="K13" s="9">
        <f t="shared" si="0"/>
        <v>226297</v>
      </c>
      <c r="L13" s="9">
        <f t="shared" si="0"/>
        <v>212508</v>
      </c>
    </row>
    <row r="14" spans="2:12" ht="11.25">
      <c r="B14" s="1" t="s">
        <v>15</v>
      </c>
      <c r="C14" s="9">
        <v>302417</v>
      </c>
      <c r="D14" s="9">
        <v>269758</v>
      </c>
      <c r="E14" s="9">
        <v>265416</v>
      </c>
      <c r="F14" s="9">
        <v>235666</v>
      </c>
      <c r="G14" s="10">
        <v>237759</v>
      </c>
      <c r="H14" s="11">
        <v>228965</v>
      </c>
      <c r="I14" s="11">
        <v>225067</v>
      </c>
      <c r="J14" s="12">
        <v>192232</v>
      </c>
      <c r="K14" s="9">
        <v>192765</v>
      </c>
      <c r="L14" s="9">
        <v>138022</v>
      </c>
    </row>
    <row r="15" spans="2:12" ht="11.25">
      <c r="B15" s="1" t="s">
        <v>16</v>
      </c>
      <c r="C15" s="9">
        <v>17225</v>
      </c>
      <c r="D15" s="9">
        <v>16620</v>
      </c>
      <c r="E15" s="9">
        <v>28274</v>
      </c>
      <c r="F15" s="9">
        <v>28569</v>
      </c>
      <c r="G15" s="10">
        <v>30599</v>
      </c>
      <c r="H15" s="11">
        <v>28520</v>
      </c>
      <c r="I15" s="11">
        <v>33198</v>
      </c>
      <c r="J15" s="12">
        <v>33207</v>
      </c>
      <c r="K15" s="9">
        <v>33532</v>
      </c>
      <c r="L15" s="9">
        <v>74486</v>
      </c>
    </row>
    <row r="16" spans="1:12" ht="11.25">
      <c r="A16" s="1" t="s">
        <v>17</v>
      </c>
      <c r="C16" s="9">
        <v>56621</v>
      </c>
      <c r="D16" s="9">
        <v>53975</v>
      </c>
      <c r="E16" s="9">
        <v>57968</v>
      </c>
      <c r="F16" s="9">
        <v>54344</v>
      </c>
      <c r="G16" s="10">
        <v>28480</v>
      </c>
      <c r="H16" s="11">
        <v>9000</v>
      </c>
      <c r="I16" s="11">
        <v>8765</v>
      </c>
      <c r="J16" s="12">
        <v>1964</v>
      </c>
      <c r="K16" s="9">
        <v>1965</v>
      </c>
      <c r="L16" s="9">
        <v>0</v>
      </c>
    </row>
    <row r="17" spans="1:12" ht="11.25">
      <c r="A17" s="1" t="s">
        <v>18</v>
      </c>
      <c r="C17" s="9">
        <f aca="true" t="shared" si="1" ref="C17:L17">C18+C22</f>
        <v>402577</v>
      </c>
      <c r="D17" s="9">
        <f t="shared" si="1"/>
        <v>348189</v>
      </c>
      <c r="E17" s="9">
        <f t="shared" si="1"/>
        <v>349348</v>
      </c>
      <c r="F17" s="9">
        <f t="shared" si="1"/>
        <v>409924</v>
      </c>
      <c r="G17" s="10">
        <f t="shared" si="1"/>
        <v>428873</v>
      </c>
      <c r="H17" s="11">
        <f t="shared" si="1"/>
        <v>292051</v>
      </c>
      <c r="I17" s="11">
        <f t="shared" si="1"/>
        <v>287880</v>
      </c>
      <c r="J17" s="12">
        <f t="shared" si="1"/>
        <v>289701</v>
      </c>
      <c r="K17" s="9">
        <f t="shared" si="1"/>
        <v>273077</v>
      </c>
      <c r="L17" s="9">
        <f t="shared" si="1"/>
        <v>279033</v>
      </c>
    </row>
    <row r="18" spans="2:12" ht="11.25">
      <c r="B18" s="1" t="s">
        <v>15</v>
      </c>
      <c r="C18" s="9">
        <f aca="true" t="shared" si="2" ref="C18:L18">SUM(C19:C21)</f>
        <v>230943</v>
      </c>
      <c r="D18" s="9">
        <f t="shared" si="2"/>
        <v>195453</v>
      </c>
      <c r="E18" s="9">
        <f t="shared" si="2"/>
        <v>206697</v>
      </c>
      <c r="F18" s="9">
        <f t="shared" si="2"/>
        <v>223346</v>
      </c>
      <c r="G18" s="10">
        <f t="shared" si="2"/>
        <v>278692</v>
      </c>
      <c r="H18" s="11">
        <f t="shared" si="2"/>
        <v>211613</v>
      </c>
      <c r="I18" s="11">
        <f t="shared" si="2"/>
        <v>112156</v>
      </c>
      <c r="J18" s="12">
        <f t="shared" si="2"/>
        <v>133392</v>
      </c>
      <c r="K18" s="9">
        <f t="shared" si="2"/>
        <v>88592</v>
      </c>
      <c r="L18" s="9">
        <f t="shared" si="2"/>
        <v>112843</v>
      </c>
    </row>
    <row r="19" spans="2:12" ht="11.25">
      <c r="B19" s="1" t="s">
        <v>19</v>
      </c>
      <c r="C19" s="9">
        <v>0</v>
      </c>
      <c r="D19" s="9">
        <v>0</v>
      </c>
      <c r="E19" s="9">
        <v>0</v>
      </c>
      <c r="F19" s="9">
        <v>0</v>
      </c>
      <c r="G19" s="10">
        <v>0</v>
      </c>
      <c r="H19" s="11">
        <v>0</v>
      </c>
      <c r="I19" s="11">
        <v>0</v>
      </c>
      <c r="J19" s="12">
        <v>0</v>
      </c>
      <c r="K19" s="9">
        <v>0</v>
      </c>
      <c r="L19" s="9">
        <v>0</v>
      </c>
    </row>
    <row r="20" spans="2:12" ht="11.25">
      <c r="B20" s="1" t="s">
        <v>20</v>
      </c>
      <c r="C20" s="9">
        <f>22900+60308</f>
        <v>83208</v>
      </c>
      <c r="D20" s="9">
        <v>89261</v>
      </c>
      <c r="E20" s="9">
        <v>63488</v>
      </c>
      <c r="F20" s="9">
        <v>62618</v>
      </c>
      <c r="G20" s="10">
        <v>67094</v>
      </c>
      <c r="H20" s="11">
        <v>91451</v>
      </c>
      <c r="I20" s="11">
        <v>56691</v>
      </c>
      <c r="J20" s="12">
        <v>53097</v>
      </c>
      <c r="K20" s="9">
        <v>42773</v>
      </c>
      <c r="L20" s="9">
        <v>33814</v>
      </c>
    </row>
    <row r="21" spans="2:12" ht="11.25">
      <c r="B21" s="1" t="s">
        <v>21</v>
      </c>
      <c r="C21" s="9">
        <f>176+147559</f>
        <v>147735</v>
      </c>
      <c r="D21" s="9">
        <v>106192</v>
      </c>
      <c r="E21" s="9">
        <v>143209</v>
      </c>
      <c r="F21" s="9">
        <v>160728</v>
      </c>
      <c r="G21" s="10">
        <v>211598</v>
      </c>
      <c r="H21" s="11">
        <v>120162</v>
      </c>
      <c r="I21" s="11">
        <v>55465</v>
      </c>
      <c r="J21" s="12">
        <v>80295</v>
      </c>
      <c r="K21" s="9">
        <v>45819</v>
      </c>
      <c r="L21" s="9">
        <v>79029</v>
      </c>
    </row>
    <row r="22" spans="2:12" ht="11.25">
      <c r="B22" s="1" t="s">
        <v>16</v>
      </c>
      <c r="C22" s="9">
        <f aca="true" t="shared" si="3" ref="C22:L22">SUM(C23:C24)</f>
        <v>171634</v>
      </c>
      <c r="D22" s="9">
        <f t="shared" si="3"/>
        <v>152736</v>
      </c>
      <c r="E22" s="9">
        <f t="shared" si="3"/>
        <v>142651</v>
      </c>
      <c r="F22" s="9">
        <f t="shared" si="3"/>
        <v>186578</v>
      </c>
      <c r="G22" s="10">
        <f t="shared" si="3"/>
        <v>150181</v>
      </c>
      <c r="H22" s="11">
        <f t="shared" si="3"/>
        <v>80438</v>
      </c>
      <c r="I22" s="11">
        <f t="shared" si="3"/>
        <v>175724</v>
      </c>
      <c r="J22" s="12">
        <f t="shared" si="3"/>
        <v>156309</v>
      </c>
      <c r="K22" s="9">
        <f t="shared" si="3"/>
        <v>184485</v>
      </c>
      <c r="L22" s="9">
        <f t="shared" si="3"/>
        <v>166190</v>
      </c>
    </row>
    <row r="23" spans="2:12" ht="11.25">
      <c r="B23" s="1" t="s">
        <v>20</v>
      </c>
      <c r="C23" s="9">
        <f>3292+5622</f>
        <v>8914</v>
      </c>
      <c r="D23" s="9">
        <v>7333</v>
      </c>
      <c r="E23" s="9">
        <v>9271</v>
      </c>
      <c r="F23" s="9">
        <v>14538</v>
      </c>
      <c r="G23" s="10">
        <v>12344</v>
      </c>
      <c r="H23" s="11">
        <v>10338</v>
      </c>
      <c r="I23" s="11">
        <v>11624</v>
      </c>
      <c r="J23" s="12">
        <v>9665</v>
      </c>
      <c r="K23" s="9">
        <v>8186</v>
      </c>
      <c r="L23" s="9">
        <v>22260</v>
      </c>
    </row>
    <row r="24" spans="2:12" ht="11.25">
      <c r="B24" s="1" t="s">
        <v>21</v>
      </c>
      <c r="C24" s="9">
        <v>162720</v>
      </c>
      <c r="D24" s="9">
        <v>145403</v>
      </c>
      <c r="E24" s="9">
        <v>133380</v>
      </c>
      <c r="F24" s="9">
        <v>172040</v>
      </c>
      <c r="G24" s="10">
        <v>137837</v>
      </c>
      <c r="H24" s="11">
        <v>70100</v>
      </c>
      <c r="I24" s="11">
        <v>164100</v>
      </c>
      <c r="J24" s="12">
        <v>146644</v>
      </c>
      <c r="K24" s="9">
        <v>176299</v>
      </c>
      <c r="L24" s="9">
        <v>143930</v>
      </c>
    </row>
    <row r="25" spans="1:12" ht="11.25">
      <c r="A25" s="2" t="s">
        <v>22</v>
      </c>
      <c r="B25" s="2"/>
      <c r="C25" s="13">
        <v>31097</v>
      </c>
      <c r="D25" s="13">
        <v>29791</v>
      </c>
      <c r="E25" s="13">
        <v>27540</v>
      </c>
      <c r="F25" s="13">
        <v>25873</v>
      </c>
      <c r="G25" s="14">
        <v>24580</v>
      </c>
      <c r="H25" s="13">
        <v>23598</v>
      </c>
      <c r="I25" s="13">
        <v>22111</v>
      </c>
      <c r="J25" s="15">
        <v>21049</v>
      </c>
      <c r="K25" s="13">
        <v>19909</v>
      </c>
      <c r="L25" s="13">
        <v>17333</v>
      </c>
    </row>
    <row r="26" spans="1:12" ht="11.25">
      <c r="A26" s="4" t="s">
        <v>23</v>
      </c>
      <c r="D26" s="9"/>
      <c r="F26" s="9"/>
      <c r="G26" s="10"/>
      <c r="H26" s="11"/>
      <c r="I26" s="11"/>
      <c r="J26" s="12"/>
      <c r="K26" s="9"/>
      <c r="L26" s="9"/>
    </row>
    <row r="27" spans="1:12" ht="11.25">
      <c r="A27" s="1" t="s">
        <v>12</v>
      </c>
      <c r="C27" s="9">
        <f>(C11+G11)/2</f>
        <v>452932.5</v>
      </c>
      <c r="D27" s="9">
        <f>(D11+H11)/2</f>
        <v>353832.5</v>
      </c>
      <c r="E27" s="9">
        <f>(E11+I11)/2</f>
        <v>350248</v>
      </c>
      <c r="F27" s="9">
        <f>(F11+J11)/2</f>
        <v>381543.5</v>
      </c>
      <c r="G27" s="10">
        <f>(G11+298994)/2</f>
        <v>381492</v>
      </c>
      <c r="H27" s="11">
        <f>(H11+262329)/2</f>
        <v>292701</v>
      </c>
      <c r="I27" s="11">
        <f>(I11+279670)/2</f>
        <v>297613</v>
      </c>
      <c r="J27" s="12">
        <f>(J11+260469)/2</f>
        <v>289288</v>
      </c>
      <c r="K27" s="9">
        <f>(K11+L11)/2</f>
        <v>300393.5</v>
      </c>
      <c r="L27" s="9">
        <f>(L11+273644)/2</f>
        <v>287718.5</v>
      </c>
    </row>
    <row r="28" spans="1:12" ht="11.25">
      <c r="A28" s="1" t="s">
        <v>24</v>
      </c>
      <c r="C28" s="9">
        <f aca="true" t="shared" si="4" ref="C28:L28">C29+C30</f>
        <v>336550.5</v>
      </c>
      <c r="D28" s="9">
        <f t="shared" si="4"/>
        <v>303419</v>
      </c>
      <c r="E28" s="9">
        <f t="shared" si="4"/>
        <v>309344</v>
      </c>
      <c r="F28" s="9">
        <f t="shared" si="4"/>
        <v>272991</v>
      </c>
      <c r="G28" s="10">
        <f t="shared" si="4"/>
        <v>262550</v>
      </c>
      <c r="H28" s="11">
        <f t="shared" si="4"/>
        <v>228949</v>
      </c>
      <c r="I28" s="11">
        <f t="shared" si="4"/>
        <v>229187.5</v>
      </c>
      <c r="J28" s="12">
        <f t="shared" si="4"/>
        <v>208650</v>
      </c>
      <c r="K28" s="9">
        <f t="shared" si="4"/>
        <v>220385</v>
      </c>
      <c r="L28" s="9">
        <f t="shared" si="4"/>
        <v>205227.5</v>
      </c>
    </row>
    <row r="29" spans="2:12" ht="11.25">
      <c r="B29" s="1" t="s">
        <v>14</v>
      </c>
      <c r="C29" s="9">
        <f>(C13+G13)/2</f>
        <v>294000</v>
      </c>
      <c r="D29" s="9">
        <f>(D13+H13)/2</f>
        <v>271931.5</v>
      </c>
      <c r="E29" s="9">
        <f>(E13+I13)/2</f>
        <v>275977.5</v>
      </c>
      <c r="F29" s="9">
        <f>(F13+J13)/2</f>
        <v>244837</v>
      </c>
      <c r="G29" s="10">
        <f>(G13+K13)/2</f>
        <v>247327.5</v>
      </c>
      <c r="H29" s="11">
        <f>(H13+191413)/2</f>
        <v>224449</v>
      </c>
      <c r="I29" s="11">
        <f>(I13+191345)/2</f>
        <v>224805</v>
      </c>
      <c r="J29" s="12">
        <f>(J13+189897)/2</f>
        <v>207668</v>
      </c>
      <c r="K29" s="9">
        <f>(K13+L13)/2</f>
        <v>219402.5</v>
      </c>
      <c r="L29" s="9">
        <f>(L13+197947)/2</f>
        <v>205227.5</v>
      </c>
    </row>
    <row r="30" spans="2:12" ht="11.25">
      <c r="B30" s="1" t="s">
        <v>17</v>
      </c>
      <c r="C30" s="9">
        <f>(C16+G16)/2</f>
        <v>42550.5</v>
      </c>
      <c r="D30" s="9">
        <f>(D16+H16)/2</f>
        <v>31487.5</v>
      </c>
      <c r="E30" s="9">
        <f>(E16+I16)/2</f>
        <v>33366.5</v>
      </c>
      <c r="F30" s="9">
        <f>(F16+J16)/2</f>
        <v>28154</v>
      </c>
      <c r="G30" s="10">
        <f>(G16+K16)/2</f>
        <v>15222.5</v>
      </c>
      <c r="H30" s="11">
        <f>(H16+0)/2</f>
        <v>4500</v>
      </c>
      <c r="I30" s="11">
        <f>(I16+0)/2</f>
        <v>4382.5</v>
      </c>
      <c r="J30" s="12">
        <f>(J16+0)/2</f>
        <v>982</v>
      </c>
      <c r="K30" s="9">
        <f>(K16+L16)/2</f>
        <v>982.5</v>
      </c>
      <c r="L30" s="9">
        <v>0</v>
      </c>
    </row>
    <row r="31" spans="1:12" ht="11.25">
      <c r="A31" s="2" t="s">
        <v>22</v>
      </c>
      <c r="B31" s="2"/>
      <c r="C31" s="13">
        <f>(C25+G25)/2</f>
        <v>27838.5</v>
      </c>
      <c r="D31" s="13">
        <f>(D25+H25)/2</f>
        <v>26694.5</v>
      </c>
      <c r="E31" s="13">
        <f>(E25+I25)/2</f>
        <v>24825.5</v>
      </c>
      <c r="F31" s="13">
        <f>(F25+J25)/2</f>
        <v>23461</v>
      </c>
      <c r="G31" s="14">
        <f>(G25+K25)/2</f>
        <v>22244.5</v>
      </c>
      <c r="H31" s="13">
        <f>(H25+20039)/2</f>
        <v>21818.5</v>
      </c>
      <c r="I31" s="13">
        <f>(I25+18942)/2</f>
        <v>20526.5</v>
      </c>
      <c r="J31" s="15">
        <f>(J25+17872)/2</f>
        <v>19460.5</v>
      </c>
      <c r="K31" s="13">
        <f>(K25+L25)/2</f>
        <v>18621</v>
      </c>
      <c r="L31" s="13">
        <f>(L25+14688)/2</f>
        <v>16010.5</v>
      </c>
    </row>
    <row r="32" spans="1:10" ht="11.25">
      <c r="A32" s="4" t="s">
        <v>25</v>
      </c>
      <c r="D32" s="9"/>
      <c r="F32" s="9"/>
      <c r="G32" s="16"/>
      <c r="H32" s="17"/>
      <c r="I32" s="17"/>
      <c r="J32" s="18"/>
    </row>
    <row r="33" spans="1:12" ht="11.25">
      <c r="A33" s="1" t="s">
        <v>26</v>
      </c>
      <c r="C33" s="19">
        <v>26714</v>
      </c>
      <c r="D33" s="9">
        <f>E33+6312</f>
        <v>21115</v>
      </c>
      <c r="E33" s="9">
        <f>F33+7176</f>
        <v>14803</v>
      </c>
      <c r="F33" s="9">
        <v>7627</v>
      </c>
      <c r="G33" s="10">
        <f>7847+H33</f>
        <v>26600</v>
      </c>
      <c r="H33" s="11">
        <f>6642+I33</f>
        <v>18753</v>
      </c>
      <c r="I33" s="11">
        <f>6295+J33</f>
        <v>12111</v>
      </c>
      <c r="J33" s="12">
        <v>5816</v>
      </c>
      <c r="K33" s="9">
        <v>17931</v>
      </c>
      <c r="L33" s="9">
        <v>5150</v>
      </c>
    </row>
    <row r="34" spans="1:12" ht="11.25">
      <c r="A34" s="1" t="s">
        <v>27</v>
      </c>
      <c r="C34" s="19">
        <v>14541</v>
      </c>
      <c r="D34" s="9">
        <f>E34+3188</f>
        <v>12419</v>
      </c>
      <c r="E34" s="9">
        <f>F34+4277</f>
        <v>9231</v>
      </c>
      <c r="F34" s="9">
        <v>4954</v>
      </c>
      <c r="G34" s="10">
        <f>5445+H34</f>
        <v>18456</v>
      </c>
      <c r="H34" s="11">
        <f>4531+I34</f>
        <v>13011</v>
      </c>
      <c r="I34" s="11">
        <f>4468+J34</f>
        <v>8480</v>
      </c>
      <c r="J34" s="12">
        <v>4012</v>
      </c>
      <c r="K34" s="9">
        <v>12837</v>
      </c>
      <c r="L34" s="9">
        <v>3516</v>
      </c>
    </row>
    <row r="35" spans="1:12" ht="11.25">
      <c r="A35" s="1" t="s">
        <v>28</v>
      </c>
      <c r="C35" s="9">
        <f aca="true" t="shared" si="5" ref="C35:L35">C33-C34</f>
        <v>12173</v>
      </c>
      <c r="D35" s="9">
        <f t="shared" si="5"/>
        <v>8696</v>
      </c>
      <c r="E35" s="9">
        <f t="shared" si="5"/>
        <v>5572</v>
      </c>
      <c r="F35" s="9">
        <f t="shared" si="5"/>
        <v>2673</v>
      </c>
      <c r="G35" s="10">
        <f t="shared" si="5"/>
        <v>8144</v>
      </c>
      <c r="H35" s="11">
        <f t="shared" si="5"/>
        <v>5742</v>
      </c>
      <c r="I35" s="11">
        <f t="shared" si="5"/>
        <v>3631</v>
      </c>
      <c r="J35" s="12">
        <f t="shared" si="5"/>
        <v>1804</v>
      </c>
      <c r="K35" s="9">
        <f t="shared" si="5"/>
        <v>5094</v>
      </c>
      <c r="L35" s="9">
        <f t="shared" si="5"/>
        <v>1634</v>
      </c>
    </row>
    <row r="36" spans="1:12" ht="11.25">
      <c r="A36" s="1" t="s">
        <v>29</v>
      </c>
      <c r="C36" s="19">
        <v>2658</v>
      </c>
      <c r="D36" s="9">
        <f>E36+894</f>
        <v>1942</v>
      </c>
      <c r="E36" s="9">
        <f>F36+460</f>
        <v>1048</v>
      </c>
      <c r="F36" s="9">
        <v>588</v>
      </c>
      <c r="G36" s="10">
        <f>600+H36</f>
        <v>2486</v>
      </c>
      <c r="H36" s="11">
        <f>989+I36</f>
        <v>1886</v>
      </c>
      <c r="I36" s="11">
        <f>459+J36</f>
        <v>897</v>
      </c>
      <c r="J36" s="12">
        <v>438</v>
      </c>
      <c r="K36" s="9">
        <v>1371</v>
      </c>
      <c r="L36" s="9">
        <v>224</v>
      </c>
    </row>
    <row r="37" spans="1:12" ht="11.25">
      <c r="A37" s="1" t="s">
        <v>30</v>
      </c>
      <c r="C37" s="9">
        <f aca="true" t="shared" si="6" ref="C37:L37">C35+C36</f>
        <v>14831</v>
      </c>
      <c r="D37" s="9">
        <f t="shared" si="6"/>
        <v>10638</v>
      </c>
      <c r="E37" s="9">
        <f t="shared" si="6"/>
        <v>6620</v>
      </c>
      <c r="F37" s="9">
        <f t="shared" si="6"/>
        <v>3261</v>
      </c>
      <c r="G37" s="10">
        <f t="shared" si="6"/>
        <v>10630</v>
      </c>
      <c r="H37" s="11">
        <f t="shared" si="6"/>
        <v>7628</v>
      </c>
      <c r="I37" s="11">
        <f t="shared" si="6"/>
        <v>4528</v>
      </c>
      <c r="J37" s="12">
        <f t="shared" si="6"/>
        <v>2242</v>
      </c>
      <c r="K37" s="9">
        <f t="shared" si="6"/>
        <v>6465</v>
      </c>
      <c r="L37" s="9">
        <f t="shared" si="6"/>
        <v>1858</v>
      </c>
    </row>
    <row r="38" spans="1:12" ht="11.25">
      <c r="A38" s="1" t="s">
        <v>31</v>
      </c>
      <c r="C38" s="19">
        <v>8341</v>
      </c>
      <c r="D38" s="9">
        <f>E38+1767</f>
        <v>5427</v>
      </c>
      <c r="E38" s="9">
        <f>F38+1692</f>
        <v>3660</v>
      </c>
      <c r="F38" s="9">
        <v>1968</v>
      </c>
      <c r="G38" s="10">
        <f>2001+H38</f>
        <v>5835</v>
      </c>
      <c r="H38" s="11">
        <f>1616+I38</f>
        <v>3834</v>
      </c>
      <c r="I38" s="11">
        <f>1219+J38</f>
        <v>2218</v>
      </c>
      <c r="J38" s="12">
        <v>999</v>
      </c>
      <c r="K38" s="9">
        <v>4669</v>
      </c>
      <c r="L38" s="9">
        <v>788</v>
      </c>
    </row>
    <row r="39" spans="1:12" ht="11.25">
      <c r="A39" s="1" t="s">
        <v>32</v>
      </c>
      <c r="C39" s="9">
        <f aca="true" t="shared" si="7" ref="C39:L39">C37-C38</f>
        <v>6490</v>
      </c>
      <c r="D39" s="9">
        <f t="shared" si="7"/>
        <v>5211</v>
      </c>
      <c r="E39" s="9">
        <f t="shared" si="7"/>
        <v>2960</v>
      </c>
      <c r="F39" s="9">
        <f t="shared" si="7"/>
        <v>1293</v>
      </c>
      <c r="G39" s="10">
        <f t="shared" si="7"/>
        <v>4795</v>
      </c>
      <c r="H39" s="11">
        <f t="shared" si="7"/>
        <v>3794</v>
      </c>
      <c r="I39" s="11">
        <f t="shared" si="7"/>
        <v>2310</v>
      </c>
      <c r="J39" s="12">
        <f t="shared" si="7"/>
        <v>1243</v>
      </c>
      <c r="K39" s="9">
        <f t="shared" si="7"/>
        <v>1796</v>
      </c>
      <c r="L39" s="9">
        <f t="shared" si="7"/>
        <v>1070</v>
      </c>
    </row>
    <row r="40" spans="1:12" ht="11.25">
      <c r="A40" s="2" t="s">
        <v>33</v>
      </c>
      <c r="B40" s="2"/>
      <c r="C40" s="20">
        <v>6490</v>
      </c>
      <c r="D40" s="13">
        <f>E40+2251</f>
        <v>5211</v>
      </c>
      <c r="E40" s="13">
        <f>F40+1667</f>
        <v>2960</v>
      </c>
      <c r="F40" s="13">
        <v>1293</v>
      </c>
      <c r="G40" s="14">
        <f>981+H40</f>
        <v>4775</v>
      </c>
      <c r="H40" s="13">
        <f>1484+I40</f>
        <v>3794</v>
      </c>
      <c r="I40" s="13">
        <f>1067+J40</f>
        <v>2310</v>
      </c>
      <c r="J40" s="15">
        <v>1243</v>
      </c>
      <c r="K40" s="13">
        <v>1793</v>
      </c>
      <c r="L40" s="13">
        <v>1067</v>
      </c>
    </row>
    <row r="41" spans="1:12" ht="11.25">
      <c r="A41" s="4" t="s">
        <v>34</v>
      </c>
      <c r="D41" s="9"/>
      <c r="E41" s="9"/>
      <c r="G41" s="10"/>
      <c r="H41" s="11"/>
      <c r="I41" s="11"/>
      <c r="J41" s="12"/>
      <c r="K41" s="9"/>
      <c r="L41" s="9"/>
    </row>
    <row r="42" spans="1:12" ht="11.25">
      <c r="A42" s="1" t="s">
        <v>35</v>
      </c>
      <c r="C42" s="1">
        <v>930</v>
      </c>
      <c r="D42" s="9">
        <v>707</v>
      </c>
      <c r="E42" s="9">
        <v>715</v>
      </c>
      <c r="F42" s="9">
        <v>4</v>
      </c>
      <c r="G42" s="10">
        <v>0</v>
      </c>
      <c r="H42" s="11">
        <v>0</v>
      </c>
      <c r="I42" s="11">
        <v>0</v>
      </c>
      <c r="J42" s="12">
        <v>0</v>
      </c>
      <c r="K42" s="9">
        <v>78</v>
      </c>
      <c r="L42" s="9">
        <v>6</v>
      </c>
    </row>
    <row r="43" spans="1:12" ht="11.25">
      <c r="A43" s="1" t="s">
        <v>36</v>
      </c>
      <c r="C43" s="1">
        <v>187</v>
      </c>
      <c r="D43" s="9">
        <v>187</v>
      </c>
      <c r="E43" s="9">
        <v>187</v>
      </c>
      <c r="F43" s="9">
        <v>187</v>
      </c>
      <c r="G43" s="10">
        <v>187</v>
      </c>
      <c r="H43" s="11">
        <v>239</v>
      </c>
      <c r="I43" s="11">
        <v>239</v>
      </c>
      <c r="J43" s="12">
        <v>239</v>
      </c>
      <c r="K43" s="9">
        <v>239</v>
      </c>
      <c r="L43" s="9">
        <v>239</v>
      </c>
    </row>
    <row r="44" spans="1:12" ht="11.25">
      <c r="A44" s="1" t="s">
        <v>37</v>
      </c>
      <c r="C44" s="21">
        <f aca="true" t="shared" si="8" ref="C44:L44">C42/C13</f>
        <v>0.002909505008728515</v>
      </c>
      <c r="D44" s="21">
        <f t="shared" si="8"/>
        <v>0.002468765058768481</v>
      </c>
      <c r="E44" s="21">
        <f t="shared" si="8"/>
        <v>0.002434539820899588</v>
      </c>
      <c r="F44" s="21">
        <f t="shared" si="8"/>
        <v>1.5138040002270706E-05</v>
      </c>
      <c r="G44" s="22">
        <f t="shared" si="8"/>
        <v>0</v>
      </c>
      <c r="H44" s="23">
        <f t="shared" si="8"/>
        <v>0</v>
      </c>
      <c r="I44" s="23">
        <f t="shared" si="8"/>
        <v>0</v>
      </c>
      <c r="J44" s="24">
        <f t="shared" si="8"/>
        <v>0</v>
      </c>
      <c r="K44" s="21">
        <f t="shared" si="8"/>
        <v>0.00034467977922818244</v>
      </c>
      <c r="L44" s="21">
        <f t="shared" si="8"/>
        <v>2.8234231181884916E-05</v>
      </c>
    </row>
    <row r="45" spans="1:12" ht="11.25">
      <c r="A45" s="1" t="s">
        <v>38</v>
      </c>
      <c r="C45" s="21">
        <f>C43/C42</f>
        <v>0.2010752688172043</v>
      </c>
      <c r="D45" s="21">
        <f>D43/D42</f>
        <v>0.26449787835926447</v>
      </c>
      <c r="E45" s="21">
        <f>E43/E42</f>
        <v>0.26153846153846155</v>
      </c>
      <c r="F45" s="21">
        <f>F43/F42</f>
        <v>46.75</v>
      </c>
      <c r="G45" s="22">
        <v>0</v>
      </c>
      <c r="H45" s="23">
        <v>0</v>
      </c>
      <c r="I45" s="23">
        <v>0</v>
      </c>
      <c r="J45" s="24">
        <v>0</v>
      </c>
      <c r="K45" s="21">
        <f>K43/K42</f>
        <v>3.0641025641025643</v>
      </c>
      <c r="L45" s="21">
        <f>L43/L42</f>
        <v>39.833333333333336</v>
      </c>
    </row>
    <row r="46" spans="1:12" ht="11.25">
      <c r="A46" s="2" t="s">
        <v>39</v>
      </c>
      <c r="B46" s="2"/>
      <c r="C46" s="25">
        <f aca="true" t="shared" si="9" ref="C46:L46">C43/C13</f>
        <v>0.0005850295017550885</v>
      </c>
      <c r="D46" s="25">
        <f t="shared" si="9"/>
        <v>0.0006529831202117481</v>
      </c>
      <c r="E46" s="25">
        <f t="shared" si="9"/>
        <v>0.0006367257993122</v>
      </c>
      <c r="F46" s="25">
        <f t="shared" si="9"/>
        <v>0.0007077033701061555</v>
      </c>
      <c r="G46" s="26">
        <f t="shared" si="9"/>
        <v>0.0006968303534830338</v>
      </c>
      <c r="H46" s="25">
        <f t="shared" si="9"/>
        <v>0.0009282094102569081</v>
      </c>
      <c r="I46" s="25">
        <f t="shared" si="9"/>
        <v>0.0009254060751553636</v>
      </c>
      <c r="J46" s="27">
        <f t="shared" si="9"/>
        <v>0.001060153744471897</v>
      </c>
      <c r="K46" s="25">
        <f t="shared" si="9"/>
        <v>0.0010561341953273795</v>
      </c>
      <c r="L46" s="25">
        <f t="shared" si="9"/>
        <v>0.001124663542078416</v>
      </c>
    </row>
    <row r="47" spans="1:10" ht="11.25">
      <c r="A47" s="4" t="s">
        <v>40</v>
      </c>
      <c r="G47" s="16"/>
      <c r="H47" s="17"/>
      <c r="I47" s="17"/>
      <c r="J47" s="18"/>
    </row>
    <row r="48" spans="1:12" ht="11.25">
      <c r="A48" s="1" t="s">
        <v>41</v>
      </c>
      <c r="C48" s="21">
        <f aca="true" t="shared" si="10" ref="C48:L48">C25/(C13+C16)</f>
        <v>0.08264697831038396</v>
      </c>
      <c r="D48" s="21">
        <f t="shared" si="10"/>
        <v>0.08752971179922023</v>
      </c>
      <c r="E48" s="21">
        <f t="shared" si="10"/>
        <v>0.0783147262396988</v>
      </c>
      <c r="F48" s="21">
        <f t="shared" si="10"/>
        <v>0.08121376487464647</v>
      </c>
      <c r="G48" s="22">
        <f t="shared" si="10"/>
        <v>0.08280610972988633</v>
      </c>
      <c r="H48" s="23">
        <f t="shared" si="10"/>
        <v>0.0885528266131302</v>
      </c>
      <c r="I48" s="23">
        <f t="shared" si="10"/>
        <v>0.08280343032618058</v>
      </c>
      <c r="J48" s="24">
        <f t="shared" si="10"/>
        <v>0.09256254315026627</v>
      </c>
      <c r="K48" s="21">
        <f t="shared" si="10"/>
        <v>0.08721994900596683</v>
      </c>
      <c r="L48" s="21">
        <f t="shared" si="10"/>
        <v>0.08156398817926855</v>
      </c>
    </row>
    <row r="49" spans="1:12" ht="11.25">
      <c r="A49" s="2" t="s">
        <v>42</v>
      </c>
      <c r="B49" s="2"/>
      <c r="C49" s="25">
        <f>C25/C13</f>
        <v>0.0972869647918609</v>
      </c>
      <c r="D49" s="25">
        <f aca="true" t="shared" si="11" ref="D49:L49">D25/D11</f>
        <v>0.07746130964762657</v>
      </c>
      <c r="E49" s="25">
        <f t="shared" si="11"/>
        <v>0.0715436171870941</v>
      </c>
      <c r="F49" s="25">
        <f t="shared" si="11"/>
        <v>0.05814418625556205</v>
      </c>
      <c r="G49" s="26">
        <f t="shared" si="11"/>
        <v>0.052975279639647405</v>
      </c>
      <c r="H49" s="25">
        <f t="shared" si="11"/>
        <v>0.07304231551383124</v>
      </c>
      <c r="I49" s="25">
        <f t="shared" si="11"/>
        <v>0.07006997173243418</v>
      </c>
      <c r="J49" s="27">
        <f t="shared" si="11"/>
        <v>0.0661695592992295</v>
      </c>
      <c r="K49" s="25">
        <f t="shared" si="11"/>
        <v>0.06658662046730035</v>
      </c>
      <c r="L49" s="25">
        <f t="shared" si="11"/>
        <v>0.0574334063414327</v>
      </c>
    </row>
    <row r="50" spans="1:12" ht="11.25">
      <c r="A50" s="4" t="s">
        <v>43</v>
      </c>
      <c r="F50" s="28"/>
      <c r="G50" s="29"/>
      <c r="H50" s="30"/>
      <c r="I50" s="30"/>
      <c r="J50" s="31"/>
      <c r="K50" s="28"/>
      <c r="L50" s="28"/>
    </row>
    <row r="51" spans="1:12" ht="11.25">
      <c r="A51" s="1" t="s">
        <v>44</v>
      </c>
      <c r="C51" s="28">
        <f aca="true" t="shared" si="12" ref="C51:L51">C12/C17</f>
        <v>0.15086554870248425</v>
      </c>
      <c r="D51" s="28">
        <f t="shared" si="12"/>
        <v>0.1149691690432495</v>
      </c>
      <c r="E51" s="28">
        <f t="shared" si="12"/>
        <v>0.07809977443695112</v>
      </c>
      <c r="F51" s="28">
        <f t="shared" si="12"/>
        <v>0.29594510201891083</v>
      </c>
      <c r="G51" s="29">
        <f t="shared" si="12"/>
        <v>0.37762927486691866</v>
      </c>
      <c r="H51" s="30">
        <f t="shared" si="12"/>
        <v>0.1779415239119195</v>
      </c>
      <c r="I51" s="30">
        <f t="shared" si="12"/>
        <v>0.154668611921634</v>
      </c>
      <c r="J51" s="31">
        <f t="shared" si="12"/>
        <v>0.29503867780918946</v>
      </c>
      <c r="K51" s="28">
        <f t="shared" si="12"/>
        <v>0.2470328881597498</v>
      </c>
      <c r="L51" s="28">
        <f t="shared" si="12"/>
        <v>0.3068991839674877</v>
      </c>
    </row>
    <row r="52" spans="1:12" ht="11.25">
      <c r="A52" s="1" t="s">
        <v>45</v>
      </c>
      <c r="C52" s="28">
        <f aca="true" t="shared" si="13" ref="C52:L52">C12/C11</f>
        <v>0.13744837340876945</v>
      </c>
      <c r="D52" s="28">
        <f t="shared" si="13"/>
        <v>0.1040869284852519</v>
      </c>
      <c r="E52" s="28">
        <f t="shared" si="13"/>
        <v>0.07087857847976307</v>
      </c>
      <c r="F52" s="28">
        <f t="shared" si="13"/>
        <v>0.27263023057216057</v>
      </c>
      <c r="G52" s="29">
        <f t="shared" si="13"/>
        <v>0.3490484708722171</v>
      </c>
      <c r="H52" s="30">
        <f t="shared" si="13"/>
        <v>0.1608552865760989</v>
      </c>
      <c r="I52" s="30">
        <f t="shared" si="13"/>
        <v>0.14110332238968679</v>
      </c>
      <c r="J52" s="31">
        <f t="shared" si="13"/>
        <v>0.26869260971937114</v>
      </c>
      <c r="K52" s="28">
        <f t="shared" si="13"/>
        <v>0.22561991210525964</v>
      </c>
      <c r="L52" s="28">
        <f t="shared" si="13"/>
        <v>0.28375409635081</v>
      </c>
    </row>
    <row r="53" spans="1:12" ht="11.25">
      <c r="A53" s="2" t="s">
        <v>46</v>
      </c>
      <c r="B53" s="2"/>
      <c r="C53" s="32">
        <f aca="true" t="shared" si="14" ref="C53:L53">(C12+C16)/C17</f>
        <v>0.2915119343628672</v>
      </c>
      <c r="D53" s="32">
        <f t="shared" si="14"/>
        <v>0.26998555382278017</v>
      </c>
      <c r="E53" s="32">
        <f t="shared" si="14"/>
        <v>0.24403173912545656</v>
      </c>
      <c r="F53" s="32">
        <f t="shared" si="14"/>
        <v>0.428516017603263</v>
      </c>
      <c r="G53" s="33">
        <f t="shared" si="14"/>
        <v>0.44403588008571304</v>
      </c>
      <c r="H53" s="32">
        <f t="shared" si="14"/>
        <v>0.2087580593800398</v>
      </c>
      <c r="I53" s="32">
        <f t="shared" si="14"/>
        <v>0.18511532583020704</v>
      </c>
      <c r="J53" s="34">
        <f t="shared" si="14"/>
        <v>0.3018180814011688</v>
      </c>
      <c r="K53" s="32">
        <f t="shared" si="14"/>
        <v>0.2542286607806589</v>
      </c>
      <c r="L53" s="32">
        <f t="shared" si="14"/>
        <v>0.3068991839674877</v>
      </c>
    </row>
    <row r="54" spans="1:10" ht="11.25">
      <c r="A54" s="4" t="s">
        <v>47</v>
      </c>
      <c r="G54" s="16"/>
      <c r="H54" s="17"/>
      <c r="I54" s="17"/>
      <c r="J54" s="18"/>
    </row>
    <row r="55" spans="1:12" ht="11.25">
      <c r="A55" s="1" t="s">
        <v>48</v>
      </c>
      <c r="B55" s="17"/>
      <c r="C55" s="35">
        <f>C40/C28</f>
        <v>0.0192838816165776</v>
      </c>
      <c r="D55" s="35">
        <f>(D40/0.75)/D28</f>
        <v>0.022899027417531533</v>
      </c>
      <c r="E55" s="21">
        <f>(E40/0.5)/E28</f>
        <v>0.019137271128581775</v>
      </c>
      <c r="F55" s="21">
        <f>((F40)/0.25)/F28</f>
        <v>0.018945679527896525</v>
      </c>
      <c r="G55" s="36">
        <f>G40/G28</f>
        <v>0.01818701199771472</v>
      </c>
      <c r="H55" s="35">
        <f>(H40/0.75)/H28</f>
        <v>0.022095168210678653</v>
      </c>
      <c r="I55" s="35">
        <f>(I40/0.5)/I28</f>
        <v>0.020158167439323697</v>
      </c>
      <c r="J55" s="24">
        <f>((J40)/0.25)/J28</f>
        <v>0.023829379343398033</v>
      </c>
      <c r="K55" s="21">
        <f>K40/K28</f>
        <v>0.008135762415772399</v>
      </c>
      <c r="L55" s="21">
        <f>L40/L28</f>
        <v>0.00519910830663532</v>
      </c>
    </row>
    <row r="56" spans="1:12" ht="11.25">
      <c r="A56" s="1" t="s">
        <v>49</v>
      </c>
      <c r="B56" s="17"/>
      <c r="C56" s="35">
        <f>C40/C27</f>
        <v>0.014328845909710609</v>
      </c>
      <c r="D56" s="35">
        <f>(D40/0.75)/D27</f>
        <v>0.01963640988320745</v>
      </c>
      <c r="E56" s="21">
        <f>(E40/0.5)/E27</f>
        <v>0.016902309220894907</v>
      </c>
      <c r="F56" s="21">
        <f>((F40)/0.25)/F27</f>
        <v>0.013555466152614316</v>
      </c>
      <c r="G56" s="36">
        <f>G40/G27</f>
        <v>0.012516645172113702</v>
      </c>
      <c r="H56" s="35">
        <f>(H40/0.75)/H27</f>
        <v>0.017282710570400057</v>
      </c>
      <c r="I56" s="35">
        <f>(I40/0.5)/I27</f>
        <v>0.015523515437833696</v>
      </c>
      <c r="J56" s="24">
        <f>((J40)/0.25)/J27</f>
        <v>0.01718702469511352</v>
      </c>
      <c r="K56" s="21">
        <f>K40/K27</f>
        <v>0.0059688375414248315</v>
      </c>
      <c r="L56" s="21">
        <f>L40/L27</f>
        <v>0.003708485898543194</v>
      </c>
    </row>
    <row r="57" spans="1:12" ht="11.25">
      <c r="A57" s="1" t="s">
        <v>50</v>
      </c>
      <c r="B57" s="17"/>
      <c r="C57" s="35">
        <f>+C40/C31</f>
        <v>0.23313037699588698</v>
      </c>
      <c r="D57" s="35">
        <f>(D40/0.75)/D31</f>
        <v>0.2602783344883778</v>
      </c>
      <c r="E57" s="21">
        <f>(E40/0.5)/E31</f>
        <v>0.23846448208495297</v>
      </c>
      <c r="F57" s="21">
        <f>((F40)/0.25)/F31</f>
        <v>0.2204509611696006</v>
      </c>
      <c r="G57" s="36">
        <f>+G40/G31</f>
        <v>0.2146598035469442</v>
      </c>
      <c r="H57" s="35">
        <f>(H40/0.75)/H31</f>
        <v>0.23185217437801256</v>
      </c>
      <c r="I57" s="35">
        <f>(I40/0.5)/I31</f>
        <v>0.22507490317394588</v>
      </c>
      <c r="J57" s="24">
        <f>((J40)/0.25)/J31</f>
        <v>0.2554918938362324</v>
      </c>
      <c r="K57" s="21">
        <f>K40/K31</f>
        <v>0.09628913592180871</v>
      </c>
      <c r="L57" s="21">
        <f>L40/L31</f>
        <v>0.06664376502919958</v>
      </c>
    </row>
    <row r="58" spans="1:12" ht="11.25">
      <c r="A58" s="1" t="s">
        <v>51</v>
      </c>
      <c r="B58" s="17"/>
      <c r="C58" s="35">
        <f>C33/C28</f>
        <v>0.07937590346768167</v>
      </c>
      <c r="D58" s="35">
        <f>(D33/0.75)/D28</f>
        <v>0.09278698213801156</v>
      </c>
      <c r="E58" s="21">
        <f>(E33/0.5)/E28</f>
        <v>0.09570575152580946</v>
      </c>
      <c r="F58" s="21">
        <f>((F33)/0.25)/F28</f>
        <v>0.11175459996849713</v>
      </c>
      <c r="G58" s="36">
        <f>G33/G28</f>
        <v>0.10131403542182442</v>
      </c>
      <c r="H58" s="35">
        <f>(H33/0.75)/H28</f>
        <v>0.10921209527012567</v>
      </c>
      <c r="I58" s="35">
        <f>(I33/0.5)/I28</f>
        <v>0.10568639214616853</v>
      </c>
      <c r="J58" s="24">
        <f>((J33)/0.25)/J28</f>
        <v>0.11149772346034029</v>
      </c>
      <c r="K58" s="21">
        <f>K33/K28</f>
        <v>0.08136216167162012</v>
      </c>
      <c r="L58" s="21">
        <f>L33/L27</f>
        <v>0.01789943990393388</v>
      </c>
    </row>
    <row r="59" spans="1:12" ht="11.25">
      <c r="A59" s="1" t="s">
        <v>52</v>
      </c>
      <c r="B59" s="17"/>
      <c r="C59" s="35">
        <f>C34/C28</f>
        <v>0.04320599731689598</v>
      </c>
      <c r="D59" s="35">
        <f>(D34/0.75)/D28</f>
        <v>0.05457359844527425</v>
      </c>
      <c r="E59" s="21">
        <f>(E34/0.5)/E28</f>
        <v>0.059681131685114304</v>
      </c>
      <c r="F59" s="21">
        <f>((F34)/0.25)/F28</f>
        <v>0.0725884736126832</v>
      </c>
      <c r="G59" s="36">
        <f>G34/G28</f>
        <v>0.07029518187011997</v>
      </c>
      <c r="H59" s="35">
        <f>(H34/0.75)/H28</f>
        <v>0.07577233357647337</v>
      </c>
      <c r="I59" s="35">
        <f>(I34/0.5)/I28</f>
        <v>0.07400054540496319</v>
      </c>
      <c r="J59" s="24">
        <f>((J34)/0.25)/J28</f>
        <v>0.07691349149293074</v>
      </c>
      <c r="K59" s="21">
        <f>K34/K28</f>
        <v>0.05824806588470177</v>
      </c>
      <c r="L59" s="21">
        <f>L34/L27</f>
        <v>0.012220277806258548</v>
      </c>
    </row>
    <row r="60" spans="1:12" ht="11.25">
      <c r="A60" s="1" t="s">
        <v>53</v>
      </c>
      <c r="B60" s="17"/>
      <c r="C60" s="35">
        <f>C35/C28</f>
        <v>0.03616990615078569</v>
      </c>
      <c r="D60" s="35">
        <f>(D35/0.75)/D28</f>
        <v>0.03821338369273732</v>
      </c>
      <c r="E60" s="21">
        <f>(E35/0.5)/E28</f>
        <v>0.036024619840695146</v>
      </c>
      <c r="F60" s="21">
        <f>((F35)/0.25)/F28</f>
        <v>0.03916612635581393</v>
      </c>
      <c r="G60" s="36">
        <f>G35/G28</f>
        <v>0.031018853551704438</v>
      </c>
      <c r="H60" s="35">
        <f>(H35/0.75)/H28</f>
        <v>0.0334397616936523</v>
      </c>
      <c r="I60" s="35">
        <f>(I35/0.5)/I28</f>
        <v>0.031685846741205344</v>
      </c>
      <c r="J60" s="24">
        <f>((J35)/0.25)/J28</f>
        <v>0.034584231967409534</v>
      </c>
      <c r="K60" s="21">
        <f>K35/K28</f>
        <v>0.023114095786918348</v>
      </c>
      <c r="L60" s="21">
        <f>L35/L27</f>
        <v>0.005679162097675332</v>
      </c>
    </row>
    <row r="61" spans="1:12" ht="11.25">
      <c r="A61" s="1" t="s">
        <v>54</v>
      </c>
      <c r="B61" s="17"/>
      <c r="C61" s="35">
        <f>C38/C37</f>
        <v>0.5624030746409547</v>
      </c>
      <c r="D61" s="35">
        <f>(D38/0.75)/(D37/0.75)</f>
        <v>0.5101522842639594</v>
      </c>
      <c r="E61" s="21">
        <f>(E38/0.5)/(E37/0.5)</f>
        <v>0.552870090634441</v>
      </c>
      <c r="F61" s="21">
        <f>(F38/0.25)/(F37/0.25)</f>
        <v>0.6034958601655934</v>
      </c>
      <c r="G61" s="36">
        <f>G38/G37</f>
        <v>0.5489181561618062</v>
      </c>
      <c r="H61" s="35">
        <f>(H38/0.75)/(H37/0.75)</f>
        <v>0.5026219192448873</v>
      </c>
      <c r="I61" s="35">
        <f>(I38/0.5)/(I37/0.5)</f>
        <v>0.48984098939929327</v>
      </c>
      <c r="J61" s="24">
        <f>(J38/0.25)/(J37/0.25)</f>
        <v>0.4455842997323818</v>
      </c>
      <c r="K61" s="21">
        <f>K38/K37</f>
        <v>0.7221964423820573</v>
      </c>
      <c r="L61" s="21">
        <f>L38/L37</f>
        <v>0.4241119483315393</v>
      </c>
    </row>
    <row r="62" spans="1:12" ht="11.25">
      <c r="A62" s="2" t="s">
        <v>55</v>
      </c>
      <c r="B62" s="2"/>
      <c r="C62" s="37">
        <f>C36/C28</f>
        <v>0.007897774628176158</v>
      </c>
      <c r="D62" s="37">
        <f>(D36/0.75)/D28</f>
        <v>0.00853385362595399</v>
      </c>
      <c r="E62" s="25">
        <f>(E36/0.5)/E28</f>
        <v>0.006775628426605979</v>
      </c>
      <c r="F62" s="25">
        <f>(F36/0.25)/F28</f>
        <v>0.008615668648416982</v>
      </c>
      <c r="G62" s="38">
        <f>G36/G28</f>
        <v>0.009468672633784042</v>
      </c>
      <c r="H62" s="37">
        <f>(H36/0.75)/H28</f>
        <v>0.010983523259182903</v>
      </c>
      <c r="I62" s="37">
        <f>(I36/0.5)/I28</f>
        <v>0.007827652031633488</v>
      </c>
      <c r="J62" s="27">
        <f>(J36/0.25)/J28</f>
        <v>0.00839683680805176</v>
      </c>
      <c r="K62" s="25">
        <f>K36/K28</f>
        <v>0.006220931551602877</v>
      </c>
      <c r="L62" s="25">
        <f>L36/L27</f>
        <v>0.0007785387453361532</v>
      </c>
    </row>
    <row r="63" spans="1:10" ht="11.25">
      <c r="A63" s="4" t="s">
        <v>56</v>
      </c>
      <c r="G63" s="16"/>
      <c r="H63" s="17"/>
      <c r="I63" s="17"/>
      <c r="J63" s="18"/>
    </row>
    <row r="64" spans="1:12" ht="11.25">
      <c r="A64" s="1" t="s">
        <v>57</v>
      </c>
      <c r="C64" s="1">
        <v>105</v>
      </c>
      <c r="D64" s="9">
        <v>106</v>
      </c>
      <c r="E64" s="9">
        <v>99</v>
      </c>
      <c r="F64" s="9">
        <v>95</v>
      </c>
      <c r="G64" s="10">
        <v>90</v>
      </c>
      <c r="H64" s="11">
        <v>90</v>
      </c>
      <c r="I64" s="11">
        <v>87</v>
      </c>
      <c r="J64" s="12">
        <v>79</v>
      </c>
      <c r="K64" s="9">
        <v>66</v>
      </c>
      <c r="L64" s="9">
        <v>58</v>
      </c>
    </row>
    <row r="65" spans="1:12" ht="11.25">
      <c r="A65" s="1" t="s">
        <v>58</v>
      </c>
      <c r="C65" s="1">
        <v>2</v>
      </c>
      <c r="D65" s="9">
        <v>2</v>
      </c>
      <c r="E65" s="9">
        <v>2</v>
      </c>
      <c r="F65" s="9">
        <v>2</v>
      </c>
      <c r="G65" s="10">
        <v>2</v>
      </c>
      <c r="H65" s="11">
        <v>2</v>
      </c>
      <c r="I65" s="11">
        <v>2</v>
      </c>
      <c r="J65" s="12">
        <v>2</v>
      </c>
      <c r="K65" s="9">
        <v>1</v>
      </c>
      <c r="L65" s="9">
        <v>1</v>
      </c>
    </row>
    <row r="66" spans="1:12" ht="11.25">
      <c r="A66" s="1" t="s">
        <v>59</v>
      </c>
      <c r="C66" s="9">
        <f aca="true" t="shared" si="15" ref="C66:L66">C13/C64</f>
        <v>3044.209523809524</v>
      </c>
      <c r="D66" s="9">
        <f t="shared" si="15"/>
        <v>2701.6792452830186</v>
      </c>
      <c r="E66" s="9">
        <f t="shared" si="15"/>
        <v>2966.5656565656564</v>
      </c>
      <c r="F66" s="9">
        <f t="shared" si="15"/>
        <v>2781.4210526315787</v>
      </c>
      <c r="G66" s="10">
        <f t="shared" si="15"/>
        <v>2981.7555555555555</v>
      </c>
      <c r="H66" s="11">
        <f t="shared" si="15"/>
        <v>2860.9444444444443</v>
      </c>
      <c r="I66" s="11">
        <f t="shared" si="15"/>
        <v>2968.5632183908046</v>
      </c>
      <c r="J66" s="12">
        <f t="shared" si="15"/>
        <v>2853.6582278481014</v>
      </c>
      <c r="K66" s="9">
        <f t="shared" si="15"/>
        <v>3428.742424242424</v>
      </c>
      <c r="L66" s="9">
        <f t="shared" si="15"/>
        <v>3663.9310344827586</v>
      </c>
    </row>
    <row r="67" spans="1:12" ht="11.25">
      <c r="A67" s="1" t="s">
        <v>60</v>
      </c>
      <c r="C67" s="9">
        <f aca="true" t="shared" si="16" ref="C67:L67">C17/C64</f>
        <v>3834.0666666666666</v>
      </c>
      <c r="D67" s="9">
        <f t="shared" si="16"/>
        <v>3284.801886792453</v>
      </c>
      <c r="E67" s="9">
        <f t="shared" si="16"/>
        <v>3528.7676767676767</v>
      </c>
      <c r="F67" s="9">
        <f t="shared" si="16"/>
        <v>4314.989473684211</v>
      </c>
      <c r="G67" s="10">
        <f t="shared" si="16"/>
        <v>4765.2555555555555</v>
      </c>
      <c r="H67" s="11">
        <f t="shared" si="16"/>
        <v>3245.011111111111</v>
      </c>
      <c r="I67" s="11">
        <f t="shared" si="16"/>
        <v>3308.9655172413795</v>
      </c>
      <c r="J67" s="12">
        <f t="shared" si="16"/>
        <v>3667.1012658227846</v>
      </c>
      <c r="K67" s="9">
        <f t="shared" si="16"/>
        <v>4137.530303030303</v>
      </c>
      <c r="L67" s="9">
        <f t="shared" si="16"/>
        <v>4810.913793103448</v>
      </c>
    </row>
    <row r="68" spans="1:12" ht="11.25">
      <c r="A68" s="2" t="s">
        <v>61</v>
      </c>
      <c r="B68" s="2"/>
      <c r="C68" s="13">
        <f aca="true" t="shared" si="17" ref="C68:L68">(C40/C64)</f>
        <v>61.80952380952381</v>
      </c>
      <c r="D68" s="13">
        <f t="shared" si="17"/>
        <v>49.160377358490564</v>
      </c>
      <c r="E68" s="13">
        <f t="shared" si="17"/>
        <v>29.8989898989899</v>
      </c>
      <c r="F68" s="13">
        <f t="shared" si="17"/>
        <v>13.610526315789473</v>
      </c>
      <c r="G68" s="14">
        <f t="shared" si="17"/>
        <v>53.05555555555556</v>
      </c>
      <c r="H68" s="13">
        <f t="shared" si="17"/>
        <v>42.15555555555556</v>
      </c>
      <c r="I68" s="13">
        <f t="shared" si="17"/>
        <v>26.551724137931036</v>
      </c>
      <c r="J68" s="15">
        <f t="shared" si="17"/>
        <v>15.734177215189874</v>
      </c>
      <c r="K68" s="13">
        <f t="shared" si="17"/>
        <v>27.166666666666668</v>
      </c>
      <c r="L68" s="13">
        <f t="shared" si="17"/>
        <v>18.396551724137932</v>
      </c>
    </row>
    <row r="69" spans="1:10" ht="11.25">
      <c r="A69" s="4" t="s">
        <v>62</v>
      </c>
      <c r="G69" s="16"/>
      <c r="H69" s="17"/>
      <c r="I69" s="17"/>
      <c r="J69" s="18"/>
    </row>
    <row r="70" spans="1:12" ht="11.25">
      <c r="A70" s="1" t="s">
        <v>63</v>
      </c>
      <c r="C70" s="21">
        <f>(C11/G11)-1</f>
        <v>-0.047662665143645366</v>
      </c>
      <c r="D70" s="21">
        <f>(D11/H11)-1</f>
        <v>0.1904182646027368</v>
      </c>
      <c r="E70" s="21">
        <f>(E11/I11)-1</f>
        <v>0.21987856355131896</v>
      </c>
      <c r="F70" s="21">
        <f>(F11/J11)-1</f>
        <v>0.39883749807454727</v>
      </c>
      <c r="G70" s="22">
        <f>(G11/K11)-1</f>
        <v>0.5518371606119186</v>
      </c>
      <c r="H70" s="23">
        <f>(H11/262329)-1</f>
        <v>0.23155655684274334</v>
      </c>
      <c r="I70" s="23">
        <f>(I11/279670)-1</f>
        <v>0.12831551471376978</v>
      </c>
      <c r="J70" s="24">
        <f>(J11/260469)-1</f>
        <v>0.22128545047587234</v>
      </c>
      <c r="K70" s="21">
        <f>(K11/L11)-1</f>
        <v>-0.009274568992653887</v>
      </c>
      <c r="L70" s="21">
        <f>(L11/273644)-1</f>
        <v>0.10286722895440792</v>
      </c>
    </row>
    <row r="71" spans="1:12" ht="11.25">
      <c r="A71" s="1" t="s">
        <v>64</v>
      </c>
      <c r="C71" s="21">
        <f aca="true" t="shared" si="18" ref="C71:E73">(C13/G13)-1</f>
        <v>0.19110292966857712</v>
      </c>
      <c r="D71" s="21">
        <f t="shared" si="18"/>
        <v>0.11221236188515826</v>
      </c>
      <c r="E71" s="21">
        <f t="shared" si="18"/>
        <v>0.13716531469614535</v>
      </c>
      <c r="F71" s="21">
        <f>F13/J13-1</f>
        <v>0.17209089820306156</v>
      </c>
      <c r="G71" s="22">
        <f>(G13/K13)-1</f>
        <v>0.18586636146303315</v>
      </c>
      <c r="H71" s="23">
        <f>H13/191413-1</f>
        <v>0.3451803169063752</v>
      </c>
      <c r="I71" s="23">
        <f>I13/191345-1</f>
        <v>0.3497347722699835</v>
      </c>
      <c r="J71" s="24">
        <f>J13/189897-1</f>
        <v>0.18716462082076069</v>
      </c>
      <c r="K71" s="21">
        <f>(K13/L13)-1</f>
        <v>0.06488696896116841</v>
      </c>
      <c r="L71" s="21">
        <f>L13/197947-1</f>
        <v>0.0735600943686947</v>
      </c>
    </row>
    <row r="72" spans="2:12" ht="11.25">
      <c r="B72" s="1" t="s">
        <v>15</v>
      </c>
      <c r="C72" s="21">
        <f t="shared" si="18"/>
        <v>0.2719476444635114</v>
      </c>
      <c r="D72" s="21">
        <f t="shared" si="18"/>
        <v>0.17816260127093653</v>
      </c>
      <c r="E72" s="21">
        <f t="shared" si="18"/>
        <v>0.17927550462751096</v>
      </c>
      <c r="F72" s="21">
        <f>(F14/J14)-1</f>
        <v>0.22594573224020964</v>
      </c>
      <c r="G72" s="22">
        <f>(G14/K14)-1</f>
        <v>0.23341374212123567</v>
      </c>
      <c r="H72" s="23">
        <f>(H14/150894)-1</f>
        <v>0.5173896907763065</v>
      </c>
      <c r="I72" s="23">
        <f>(I14/148392)-1</f>
        <v>0.516705752331662</v>
      </c>
      <c r="J72" s="24">
        <f>(J14/146517)-1</f>
        <v>0.3120115754485828</v>
      </c>
      <c r="K72" s="21">
        <f>(K14/L14)-1</f>
        <v>0.39662517569662814</v>
      </c>
      <c r="L72" s="21">
        <f>(L14/144209)-1</f>
        <v>-0.04290300882746567</v>
      </c>
    </row>
    <row r="73" spans="2:12" ht="11.25">
      <c r="B73" s="1" t="s">
        <v>16</v>
      </c>
      <c r="C73" s="21">
        <f t="shared" si="18"/>
        <v>-0.4370731069642799</v>
      </c>
      <c r="D73" s="21">
        <f t="shared" si="18"/>
        <v>-0.41725105189340816</v>
      </c>
      <c r="E73" s="21">
        <f t="shared" si="18"/>
        <v>-0.14832218808361952</v>
      </c>
      <c r="F73" s="21">
        <f>(F15/J15)-1</f>
        <v>-0.13966934682446475</v>
      </c>
      <c r="G73" s="22">
        <f>(G15/K15)-1</f>
        <v>-0.08746868662769891</v>
      </c>
      <c r="H73" s="23">
        <f>(H15/40519)-1</f>
        <v>-0.2961326784965078</v>
      </c>
      <c r="I73" s="23">
        <f>(I15/42953)-1</f>
        <v>-0.2271087002072032</v>
      </c>
      <c r="J73" s="24">
        <f>(J15/43380)-1</f>
        <v>-0.234508990318119</v>
      </c>
      <c r="K73" s="21">
        <f>(K15/L15)-1</f>
        <v>-0.5498214429557232</v>
      </c>
      <c r="L73" s="21">
        <f>(L15/53738)-1</f>
        <v>0.3860955003907849</v>
      </c>
    </row>
    <row r="74" spans="1:12" ht="11.25">
      <c r="A74" s="1" t="s">
        <v>65</v>
      </c>
      <c r="C74" s="21">
        <f aca="true" t="shared" si="19" ref="C74:G75">(C17/G17)-1</f>
        <v>-0.061314188582634044</v>
      </c>
      <c r="D74" s="21">
        <f t="shared" si="19"/>
        <v>0.19221985201214853</v>
      </c>
      <c r="E74" s="21">
        <f t="shared" si="19"/>
        <v>0.21351952202306523</v>
      </c>
      <c r="F74" s="21">
        <f t="shared" si="19"/>
        <v>0.41498993790149163</v>
      </c>
      <c r="G74" s="22">
        <f t="shared" si="19"/>
        <v>0.570520402670309</v>
      </c>
      <c r="H74" s="23">
        <f>H17/233782-1</f>
        <v>0.2492450231412171</v>
      </c>
      <c r="I74" s="23">
        <f>I17/255614-1</f>
        <v>0.1262293927562652</v>
      </c>
      <c r="J74" s="24">
        <f>J17/237592-1</f>
        <v>0.21932135762146876</v>
      </c>
      <c r="K74" s="21">
        <f>(K17/L17)-1</f>
        <v>-0.021345145556260325</v>
      </c>
      <c r="L74" s="21">
        <f>L17/253953-1</f>
        <v>0.09875843167830278</v>
      </c>
    </row>
    <row r="75" spans="2:12" ht="11.25">
      <c r="B75" s="1" t="s">
        <v>15</v>
      </c>
      <c r="C75" s="21">
        <f t="shared" si="19"/>
        <v>-0.17133251044163444</v>
      </c>
      <c r="D75" s="21">
        <f t="shared" si="19"/>
        <v>-0.07636581873514392</v>
      </c>
      <c r="E75" s="21">
        <f t="shared" si="19"/>
        <v>0.8429419736795178</v>
      </c>
      <c r="F75" s="21">
        <f t="shared" si="19"/>
        <v>0.6743582823557634</v>
      </c>
      <c r="G75" s="22">
        <f t="shared" si="19"/>
        <v>2.1457919450966227</v>
      </c>
      <c r="H75" s="23">
        <f>(H18/93463)-1</f>
        <v>1.2641366102093876</v>
      </c>
      <c r="I75" s="23">
        <f>(I18/178035)-1</f>
        <v>-0.37003398208217486</v>
      </c>
      <c r="J75" s="24">
        <f>(J18/89331)-1</f>
        <v>0.4932330322060652</v>
      </c>
      <c r="K75" s="21">
        <f>(K18/L18)-1</f>
        <v>-0.2149092101415241</v>
      </c>
      <c r="L75" s="21">
        <f>(L18/107305)-1</f>
        <v>0.051609897022505846</v>
      </c>
    </row>
    <row r="76" spans="2:12" ht="11.25">
      <c r="B76" s="1" t="s">
        <v>16</v>
      </c>
      <c r="C76" s="21">
        <f>(C22/G22)-1</f>
        <v>0.14284763052583216</v>
      </c>
      <c r="D76" s="21">
        <f>(D22/H22)-1</f>
        <v>0.8988040478380865</v>
      </c>
      <c r="E76" s="21">
        <f>(E22/I22)-1</f>
        <v>-0.18820992010197812</v>
      </c>
      <c r="F76" s="21">
        <f>(F22/J22)-1</f>
        <v>0.19364847833458088</v>
      </c>
      <c r="G76" s="22">
        <f>(G22/K22)-1</f>
        <v>-0.18594465674716099</v>
      </c>
      <c r="H76" s="23">
        <f>(H22/140319)-1</f>
        <v>-0.4267490503780671</v>
      </c>
      <c r="I76" s="23">
        <f>(I22/77579)-1</f>
        <v>1.2650975135023654</v>
      </c>
      <c r="J76" s="24">
        <f>(J22/148260)-1</f>
        <v>0.05428976123027107</v>
      </c>
      <c r="K76" s="21">
        <f>(K22/L22)-1</f>
        <v>0.11008484264997898</v>
      </c>
      <c r="L76" s="21">
        <f>(L22/146648)-1</f>
        <v>0.13325786918335059</v>
      </c>
    </row>
    <row r="77" spans="1:12" ht="11.25">
      <c r="A77" s="1" t="s">
        <v>66</v>
      </c>
      <c r="C77" s="21">
        <f>(C25/G25)-1</f>
        <v>0.2651342554922702</v>
      </c>
      <c r="D77" s="21">
        <f>(D25/H25)-1</f>
        <v>0.26243749470294087</v>
      </c>
      <c r="E77" s="21">
        <f>(E25/I25)-1</f>
        <v>0.24553389715526208</v>
      </c>
      <c r="F77" s="21">
        <f>(F25/J25)-1</f>
        <v>0.22917953346952347</v>
      </c>
      <c r="G77" s="22">
        <f>(G25/K25)-1</f>
        <v>0.23461750966899397</v>
      </c>
      <c r="H77" s="23">
        <f>(H25/20039)-1</f>
        <v>0.17760367283796596</v>
      </c>
      <c r="I77" s="23">
        <f>(I25/18492)-1</f>
        <v>0.19570625135193587</v>
      </c>
      <c r="J77" s="24">
        <f>(J25/17872)-1</f>
        <v>0.17776410026857659</v>
      </c>
      <c r="K77" s="21">
        <f>(K25/L25)-1</f>
        <v>0.14861824265851276</v>
      </c>
      <c r="L77" s="21">
        <f>(L25/14688)-1</f>
        <v>0.18007897603485845</v>
      </c>
    </row>
    <row r="78" spans="1:12" ht="11.25">
      <c r="A78" s="2" t="s">
        <v>67</v>
      </c>
      <c r="B78" s="2"/>
      <c r="C78" s="25">
        <f>(C40/G40)-1</f>
        <v>0.3591623036649214</v>
      </c>
      <c r="D78" s="25">
        <f>(D40/H40)-1</f>
        <v>0.3734844491302056</v>
      </c>
      <c r="E78" s="25">
        <f>(E40/I40)-1</f>
        <v>0.2813852813852813</v>
      </c>
      <c r="F78" s="25">
        <f>(F40/J40)-1</f>
        <v>0.04022526146419958</v>
      </c>
      <c r="G78" s="26">
        <f>(G40/K40)-1</f>
        <v>1.6631344116006694</v>
      </c>
      <c r="H78" s="25">
        <f>(H40/3275)-1</f>
        <v>0.15847328244274816</v>
      </c>
      <c r="I78" s="25">
        <f>(I40/2163)-1</f>
        <v>0.06796116504854366</v>
      </c>
      <c r="J78" s="27">
        <f>(J40/1060)-1</f>
        <v>0.17264150943396217</v>
      </c>
      <c r="K78" s="25">
        <f>(K40/L40)-1</f>
        <v>0.6804123711340206</v>
      </c>
      <c r="L78" s="25">
        <f>(L40/2241)-1</f>
        <v>-0.5238732708612226</v>
      </c>
    </row>
  </sheetData>
  <sheetProtection password="CD66" sheet="1" objects="1" scenarios="1"/>
  <mergeCells count="3">
    <mergeCell ref="G8:J8"/>
    <mergeCell ref="K8:L8"/>
    <mergeCell ref="C8:F8"/>
  </mergeCells>
  <printOptions horizontalCentered="1" verticalCentered="1"/>
  <pageMargins left="0.75" right="0.75" top="1" bottom="1" header="0" footer="0"/>
  <pageSetup horizontalDpi="300" verticalDpi="300" orientation="landscape" r:id="rId3"/>
  <legacyDrawing r:id="rId2"/>
  <oleObjects>
    <oleObject progId="MSPhotoEd.3" shapeId="53465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2002-03-22T16:53:28Z</cp:lastPrinted>
  <dcterms:created xsi:type="dcterms:W3CDTF">2002-03-19T20:45:49Z</dcterms:created>
  <dcterms:modified xsi:type="dcterms:W3CDTF">2002-03-20T23:06:23Z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