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Dai-Ichi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<sst xmlns="http://schemas.openxmlformats.org/spreadsheetml/2006/main" count="84" uniqueCount="68">
  <si>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18-41</t>
  </si>
  <si>
    <t>THE DAI-ICHI KANGYO BANK, LTD.</t>
  </si>
  <si>
    <t>ESTADISTICA FINANCIERA. AÑO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</si>
  <si>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</si>
  <si>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</si>
  <si>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</si>
  <si>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</si>
  <si>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</si>
  <si>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</si>
  <si>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</si>
  <si>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</si>
  <si>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</si>
  <si>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</si>
  <si>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</si>
  <si>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</si>
  <si>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</si>
  <si>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</si>
  <si>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</si>
  <si>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</si>
  <si>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</si>
  <si>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</si>
  <si>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</si>
  <si>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</si>
  <si>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</si>
  <si>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</si>
  <si>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</si>
  <si>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</si>
  <si>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</si>
  <si>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</si>
  <si>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</si>
  <si>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</si>
  <si>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</si>
  <si>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</si>
  <si>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</si>
  <si>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</si>
  <si>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</si>
  <si>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</si>
  <si>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</si>
  <si>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</si>
  <si>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</si>
  <si>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</si>
  <si>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Ingresos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</si>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</sst>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0" xfId="15" applyNumberFormat="1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3.57421875" style="1" customWidth="1"/>
    <col min="2" max="2" width="39.710937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4"/>
      <c r="C2" s="47" t="s">
        <v>0</v>
      </c>
      <c r="D2" s="47"/>
      <c r="E2" s="47"/>
      <c r="F2" s="47"/>
      <c r="G2" s="47"/>
      <c r="H2" s="47"/>
      <c r="I2" s="47"/>
      <c r="J2" s="44"/>
      <c r="K2" s="44"/>
      <c r="L2" s="44"/>
    </row>
    <row r="3" spans="2:12" ht="12.75" customHeight="1">
      <c r="B3" s="44"/>
      <c r="C3" s="47" t="s">
        <v>1</v>
      </c>
      <c r="D3" s="47"/>
      <c r="E3" s="47"/>
      <c r="F3" s="47"/>
      <c r="G3" s="47"/>
      <c r="H3" s="47"/>
      <c r="I3" s="47"/>
      <c r="J3" s="44"/>
      <c r="K3" s="44"/>
      <c r="L3" s="44"/>
    </row>
    <row r="4" spans="2:12" ht="12.75" customHeight="1">
      <c r="B4" s="44"/>
      <c r="C4" s="47" t="s">
        <v>2</v>
      </c>
      <c r="D4" s="47"/>
      <c r="E4" s="47"/>
      <c r="F4" s="47"/>
      <c r="G4" s="47"/>
      <c r="H4" s="47"/>
      <c r="I4" s="47"/>
      <c r="J4" s="44"/>
      <c r="K4" s="44"/>
      <c r="L4" s="44"/>
    </row>
    <row r="5" spans="2:12" ht="12.75" customHeight="1">
      <c r="B5" s="43"/>
      <c r="C5" s="48" t="s">
        <v>3</v>
      </c>
      <c r="D5" s="48"/>
      <c r="E5" s="48"/>
      <c r="F5" s="48"/>
      <c r="G5" s="48"/>
      <c r="H5" s="48"/>
      <c r="I5" s="48"/>
      <c r="J5" s="43"/>
      <c r="K5" s="43"/>
      <c r="L5" s="43"/>
    </row>
    <row r="6" spans="1:12" ht="11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0">
        <v>2001</v>
      </c>
      <c r="D8" s="50"/>
      <c r="E8" s="50"/>
      <c r="F8" s="51"/>
      <c r="G8" s="49">
        <v>2000</v>
      </c>
      <c r="H8" s="50"/>
      <c r="I8" s="50"/>
      <c r="J8" s="51"/>
      <c r="K8" s="50" t="s">
        <v>4</v>
      </c>
      <c r="L8" s="50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211074</v>
      </c>
      <c r="D11" s="14">
        <v>227194</v>
      </c>
      <c r="E11" s="14">
        <v>208175</v>
      </c>
      <c r="F11" s="14">
        <v>260541</v>
      </c>
      <c r="G11" s="15">
        <v>281407</v>
      </c>
      <c r="H11" s="16">
        <v>332195</v>
      </c>
      <c r="I11" s="16">
        <v>292541</v>
      </c>
      <c r="J11" s="17">
        <v>337755</v>
      </c>
      <c r="K11" s="14">
        <v>348914</v>
      </c>
      <c r="L11" s="14">
        <v>464344</v>
      </c>
    </row>
    <row r="12" spans="1:12" ht="11.25">
      <c r="A12" s="1" t="s">
        <v>13</v>
      </c>
      <c r="C12" s="14">
        <v>22623</v>
      </c>
      <c r="D12" s="14">
        <v>11596</v>
      </c>
      <c r="E12" s="14">
        <v>21119</v>
      </c>
      <c r="F12" s="14">
        <v>20051</v>
      </c>
      <c r="G12" s="15">
        <v>29487</v>
      </c>
      <c r="H12" s="16">
        <v>32474</v>
      </c>
      <c r="I12" s="16">
        <v>14415</v>
      </c>
      <c r="J12" s="17">
        <v>20097</v>
      </c>
      <c r="K12" s="14">
        <v>27692</v>
      </c>
      <c r="L12" s="14">
        <v>33368</v>
      </c>
    </row>
    <row r="13" spans="1:12" ht="11.25">
      <c r="A13" s="1" t="s">
        <v>14</v>
      </c>
      <c r="C13" s="14">
        <f aca="true" t="shared" si="0" ref="C13:L13">C14+C15</f>
        <v>187161</v>
      </c>
      <c r="D13" s="14">
        <f t="shared" si="0"/>
        <v>214096</v>
      </c>
      <c r="E13" s="14">
        <f t="shared" si="0"/>
        <v>185449</v>
      </c>
      <c r="F13" s="14">
        <f t="shared" si="0"/>
        <v>238229</v>
      </c>
      <c r="G13" s="15">
        <f t="shared" si="0"/>
        <v>249314</v>
      </c>
      <c r="H13" s="16">
        <f t="shared" si="0"/>
        <v>296522</v>
      </c>
      <c r="I13" s="16">
        <f t="shared" si="0"/>
        <v>275777</v>
      </c>
      <c r="J13" s="17">
        <f t="shared" si="0"/>
        <v>314709</v>
      </c>
      <c r="K13" s="14">
        <f t="shared" si="0"/>
        <v>317831</v>
      </c>
      <c r="L13" s="14">
        <f t="shared" si="0"/>
        <v>426457</v>
      </c>
    </row>
    <row r="14" spans="2:12" ht="11.25">
      <c r="B14" s="1" t="s">
        <v>15</v>
      </c>
      <c r="C14" s="14">
        <v>3096</v>
      </c>
      <c r="D14" s="14">
        <v>1447</v>
      </c>
      <c r="E14" s="14">
        <v>1065</v>
      </c>
      <c r="F14" s="14">
        <v>290</v>
      </c>
      <c r="G14" s="15">
        <v>1053</v>
      </c>
      <c r="H14" s="16">
        <v>3100</v>
      </c>
      <c r="I14" s="16">
        <v>3296</v>
      </c>
      <c r="J14" s="17">
        <v>3130</v>
      </c>
      <c r="K14" s="14">
        <v>4452</v>
      </c>
      <c r="L14" s="14">
        <v>2905</v>
      </c>
    </row>
    <row r="15" spans="2:12" ht="11.25">
      <c r="B15" s="1" t="s">
        <v>16</v>
      </c>
      <c r="C15" s="14">
        <v>184065</v>
      </c>
      <c r="D15" s="14">
        <v>212649</v>
      </c>
      <c r="E15" s="14">
        <v>184384</v>
      </c>
      <c r="F15" s="14">
        <v>237939</v>
      </c>
      <c r="G15" s="15">
        <v>248261</v>
      </c>
      <c r="H15" s="16">
        <v>293422</v>
      </c>
      <c r="I15" s="16">
        <v>272481</v>
      </c>
      <c r="J15" s="17">
        <v>311579</v>
      </c>
      <c r="K15" s="14">
        <v>313379</v>
      </c>
      <c r="L15" s="14">
        <v>423552</v>
      </c>
    </row>
    <row r="16" spans="1:12" ht="11.25">
      <c r="A16" s="1" t="s">
        <v>17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>
        <v>0</v>
      </c>
      <c r="I16" s="16">
        <v>0</v>
      </c>
      <c r="J16" s="17">
        <v>0</v>
      </c>
      <c r="K16" s="14">
        <v>0</v>
      </c>
      <c r="L16" s="14">
        <v>0</v>
      </c>
    </row>
    <row r="17" spans="1:12" ht="11.25">
      <c r="A17" s="1" t="s">
        <v>18</v>
      </c>
      <c r="C17" s="14">
        <f aca="true" t="shared" si="1" ref="C17:L17">C18+C22</f>
        <v>197601</v>
      </c>
      <c r="D17" s="14">
        <f t="shared" si="1"/>
        <v>214614</v>
      </c>
      <c r="E17" s="14">
        <f t="shared" si="1"/>
        <v>195894</v>
      </c>
      <c r="F17" s="14">
        <f t="shared" si="1"/>
        <v>245686</v>
      </c>
      <c r="G17" s="15">
        <f t="shared" si="1"/>
        <v>266587</v>
      </c>
      <c r="H17" s="16">
        <f t="shared" si="1"/>
        <v>317458</v>
      </c>
      <c r="I17" s="16">
        <f t="shared" si="1"/>
        <v>279161</v>
      </c>
      <c r="J17" s="17">
        <f t="shared" si="1"/>
        <v>322612</v>
      </c>
      <c r="K17" s="14">
        <f t="shared" si="1"/>
        <v>334029</v>
      </c>
      <c r="L17" s="14">
        <f t="shared" si="1"/>
        <v>457667</v>
      </c>
    </row>
    <row r="18" spans="2:12" ht="11.25">
      <c r="B18" s="1" t="s">
        <v>15</v>
      </c>
      <c r="C18" s="14">
        <f aca="true" t="shared" si="2" ref="C18:L18">SUM(C19:C21)</f>
        <v>5114</v>
      </c>
      <c r="D18" s="14">
        <f t="shared" si="2"/>
        <v>3102</v>
      </c>
      <c r="E18" s="14">
        <f t="shared" si="2"/>
        <v>3869</v>
      </c>
      <c r="F18" s="14">
        <f t="shared" si="2"/>
        <v>3189</v>
      </c>
      <c r="G18" s="15">
        <f t="shared" si="2"/>
        <v>3408</v>
      </c>
      <c r="H18" s="16">
        <f t="shared" si="2"/>
        <v>3153</v>
      </c>
      <c r="I18" s="16">
        <f t="shared" si="2"/>
        <v>2597</v>
      </c>
      <c r="J18" s="17">
        <f t="shared" si="2"/>
        <v>4389</v>
      </c>
      <c r="K18" s="14">
        <f t="shared" si="2"/>
        <v>5398</v>
      </c>
      <c r="L18" s="14">
        <f t="shared" si="2"/>
        <v>4156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1144+3970</f>
        <v>5114</v>
      </c>
      <c r="D20" s="14">
        <v>3102</v>
      </c>
      <c r="E20" s="14">
        <v>3869</v>
      </c>
      <c r="F20" s="14">
        <v>3189</v>
      </c>
      <c r="G20" s="15">
        <v>3408</v>
      </c>
      <c r="H20" s="16">
        <v>3153</v>
      </c>
      <c r="I20" s="16">
        <v>2597</v>
      </c>
      <c r="J20" s="17">
        <v>4389</v>
      </c>
      <c r="K20" s="14">
        <v>5398</v>
      </c>
      <c r="L20" s="14">
        <v>4156</v>
      </c>
    </row>
    <row r="21" spans="2:12" ht="11.25">
      <c r="B21" s="1" t="s">
        <v>21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  <c r="H21" s="16">
        <v>0</v>
      </c>
      <c r="I21" s="16">
        <v>0</v>
      </c>
      <c r="J21" s="17">
        <v>0</v>
      </c>
      <c r="K21" s="14">
        <v>0</v>
      </c>
      <c r="L21" s="14">
        <v>0</v>
      </c>
    </row>
    <row r="22" spans="2:12" ht="11.25">
      <c r="B22" s="1" t="s">
        <v>16</v>
      </c>
      <c r="C22" s="14">
        <f aca="true" t="shared" si="3" ref="C22:L22">SUM(C23:C24)</f>
        <v>192487</v>
      </c>
      <c r="D22" s="14">
        <f t="shared" si="3"/>
        <v>211512</v>
      </c>
      <c r="E22" s="14">
        <f t="shared" si="3"/>
        <v>192025</v>
      </c>
      <c r="F22" s="14">
        <f t="shared" si="3"/>
        <v>242497</v>
      </c>
      <c r="G22" s="15">
        <f t="shared" si="3"/>
        <v>263179</v>
      </c>
      <c r="H22" s="16">
        <f t="shared" si="3"/>
        <v>314305</v>
      </c>
      <c r="I22" s="16">
        <f t="shared" si="3"/>
        <v>276564</v>
      </c>
      <c r="J22" s="17">
        <f t="shared" si="3"/>
        <v>318223</v>
      </c>
      <c r="K22" s="14">
        <f t="shared" si="3"/>
        <v>328631</v>
      </c>
      <c r="L22" s="14">
        <f t="shared" si="3"/>
        <v>453511</v>
      </c>
    </row>
    <row r="23" spans="2:12" ht="11.25">
      <c r="B23" s="1" t="s">
        <v>20</v>
      </c>
      <c r="C23" s="14">
        <f>1587+3964</f>
        <v>5551</v>
      </c>
      <c r="D23" s="14">
        <v>19413</v>
      </c>
      <c r="E23" s="14">
        <v>7267</v>
      </c>
      <c r="F23" s="14">
        <v>20175</v>
      </c>
      <c r="G23" s="15">
        <v>26428</v>
      </c>
      <c r="H23" s="16">
        <v>29865</v>
      </c>
      <c r="I23" s="16">
        <v>12011</v>
      </c>
      <c r="J23" s="17">
        <v>16147</v>
      </c>
      <c r="K23" s="14">
        <v>22065</v>
      </c>
      <c r="L23" s="14">
        <v>29301</v>
      </c>
    </row>
    <row r="24" spans="2:12" ht="11.25">
      <c r="B24" s="1" t="s">
        <v>21</v>
      </c>
      <c r="C24" s="14">
        <v>186936</v>
      </c>
      <c r="D24" s="14">
        <v>192099</v>
      </c>
      <c r="E24" s="14">
        <v>184758</v>
      </c>
      <c r="F24" s="14">
        <v>222322</v>
      </c>
      <c r="G24" s="15">
        <v>236751</v>
      </c>
      <c r="H24" s="16">
        <v>284440</v>
      </c>
      <c r="I24" s="16">
        <v>264553</v>
      </c>
      <c r="J24" s="17">
        <v>302076</v>
      </c>
      <c r="K24" s="14">
        <v>306566</v>
      </c>
      <c r="L24" s="14">
        <v>424210</v>
      </c>
    </row>
    <row r="25" spans="1:12" ht="11.25">
      <c r="A25" s="2" t="s">
        <v>22</v>
      </c>
      <c r="B25" s="2"/>
      <c r="C25" s="18">
        <v>10727</v>
      </c>
      <c r="D25" s="18">
        <v>10309</v>
      </c>
      <c r="E25" s="18">
        <v>10102</v>
      </c>
      <c r="F25" s="18">
        <v>12926</v>
      </c>
      <c r="G25" s="19">
        <v>12586</v>
      </c>
      <c r="H25" s="18">
        <v>11989</v>
      </c>
      <c r="I25" s="18">
        <v>11359</v>
      </c>
      <c r="J25" s="20">
        <v>12575</v>
      </c>
      <c r="K25" s="18">
        <v>12100</v>
      </c>
      <c r="L25" s="18">
        <v>2732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246240.5</v>
      </c>
      <c r="D27" s="14">
        <f>(D11+H11)/2</f>
        <v>279694.5</v>
      </c>
      <c r="E27" s="14">
        <f>(E11+I11)/2</f>
        <v>250358</v>
      </c>
      <c r="F27" s="14">
        <f>(F11+J11)/2</f>
        <v>299148</v>
      </c>
      <c r="G27" s="15">
        <f>(G11+348914)/2</f>
        <v>315160.5</v>
      </c>
      <c r="H27" s="16">
        <f>(H11+360227)/2</f>
        <v>346211</v>
      </c>
      <c r="I27" s="16">
        <f>(I11+345237)/2</f>
        <v>318889</v>
      </c>
      <c r="J27" s="17">
        <f>(J11+443075)/2</f>
        <v>390415</v>
      </c>
      <c r="K27" s="14">
        <f>(K11+L11)/2</f>
        <v>406629</v>
      </c>
      <c r="L27" s="14">
        <f>(L11+509474)/2</f>
        <v>486909</v>
      </c>
    </row>
    <row r="28" spans="1:12" ht="11.25">
      <c r="A28" s="1" t="s">
        <v>24</v>
      </c>
      <c r="C28" s="14">
        <f aca="true" t="shared" si="4" ref="C28:L28">C29+C30</f>
        <v>218237.5</v>
      </c>
      <c r="D28" s="14">
        <f t="shared" si="4"/>
        <v>255309</v>
      </c>
      <c r="E28" s="14">
        <f t="shared" si="4"/>
        <v>230613</v>
      </c>
      <c r="F28" s="14">
        <f t="shared" si="4"/>
        <v>276469</v>
      </c>
      <c r="G28" s="15">
        <f t="shared" si="4"/>
        <v>283572.5</v>
      </c>
      <c r="H28" s="16">
        <f t="shared" si="4"/>
        <v>312292.5</v>
      </c>
      <c r="I28" s="16">
        <f t="shared" si="4"/>
        <v>300601</v>
      </c>
      <c r="J28" s="17">
        <f t="shared" si="4"/>
        <v>365310.5</v>
      </c>
      <c r="K28" s="14">
        <f t="shared" si="4"/>
        <v>372144</v>
      </c>
      <c r="L28" s="14">
        <f t="shared" si="4"/>
        <v>456164.5</v>
      </c>
    </row>
    <row r="29" spans="2:12" ht="11.25">
      <c r="B29" s="1" t="s">
        <v>14</v>
      </c>
      <c r="C29" s="14">
        <f>(C13+G13)/2</f>
        <v>218237.5</v>
      </c>
      <c r="D29" s="14">
        <f>(D13+H13)/2</f>
        <v>255309</v>
      </c>
      <c r="E29" s="14">
        <f>(E13+I13)/2</f>
        <v>230613</v>
      </c>
      <c r="F29" s="14">
        <f>(F13+J13)/2</f>
        <v>276469</v>
      </c>
      <c r="G29" s="15">
        <f>(G13+K13)/2</f>
        <v>283572.5</v>
      </c>
      <c r="H29" s="16">
        <f>(H13+328063)/2</f>
        <v>312292.5</v>
      </c>
      <c r="I29" s="16">
        <f>(I13+325425)/2</f>
        <v>300601</v>
      </c>
      <c r="J29" s="17">
        <f>(J13+415912)/2</f>
        <v>365310.5</v>
      </c>
      <c r="K29" s="14">
        <f>(K13+L13)/2</f>
        <v>372144</v>
      </c>
      <c r="L29" s="14">
        <f>(426457+485872)/2</f>
        <v>456164.5</v>
      </c>
    </row>
    <row r="30" spans="2:12" ht="11.25">
      <c r="B30" s="1" t="s">
        <v>17</v>
      </c>
      <c r="C30" s="14">
        <f>(C16+G16)/2</f>
        <v>0</v>
      </c>
      <c r="D30" s="14">
        <f>(D16+H16)/2</f>
        <v>0</v>
      </c>
      <c r="E30" s="14">
        <f>(E16+I16)/2</f>
        <v>0</v>
      </c>
      <c r="F30" s="14">
        <f>(F16+J16)/2</f>
        <v>0</v>
      </c>
      <c r="G30" s="15">
        <f>(G16+K16)/2</f>
        <v>0</v>
      </c>
      <c r="H30" s="16">
        <v>0</v>
      </c>
      <c r="I30" s="16">
        <v>0</v>
      </c>
      <c r="J30" s="17">
        <v>0</v>
      </c>
      <c r="K30" s="14">
        <v>0</v>
      </c>
      <c r="L30" s="14">
        <v>0</v>
      </c>
    </row>
    <row r="31" spans="1:12" ht="11.25">
      <c r="A31" s="2" t="s">
        <v>22</v>
      </c>
      <c r="B31" s="2"/>
      <c r="C31" s="18">
        <f>(C25+G25)/2</f>
        <v>11656.5</v>
      </c>
      <c r="D31" s="18">
        <f>(D25+H25)/2</f>
        <v>11149</v>
      </c>
      <c r="E31" s="18">
        <f>(E25+I25)/2</f>
        <v>10730.5</v>
      </c>
      <c r="F31" s="18">
        <f>(F25+J25)/2</f>
        <v>12750.5</v>
      </c>
      <c r="G31" s="19">
        <f>(G25+K25)/2</f>
        <v>12343</v>
      </c>
      <c r="H31" s="18">
        <f>(H25+11597)/2</f>
        <v>11793</v>
      </c>
      <c r="I31" s="18">
        <f>(I25+11094)/2</f>
        <v>11226.5</v>
      </c>
      <c r="J31" s="20">
        <f>(J25+2892)/2</f>
        <v>7733.5</v>
      </c>
      <c r="K31" s="18">
        <f>(K25+L25)/2</f>
        <v>7416</v>
      </c>
      <c r="L31" s="18">
        <f>(2732+3449)/2</f>
        <v>3090.5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11251</v>
      </c>
      <c r="D33" s="14">
        <f>E33+2475</f>
        <v>9388</v>
      </c>
      <c r="E33" s="14">
        <f>F33+3025</f>
        <v>6913</v>
      </c>
      <c r="F33" s="14">
        <v>3888</v>
      </c>
      <c r="G33" s="15">
        <f>4834+H33</f>
        <v>19721</v>
      </c>
      <c r="H33" s="16">
        <f>5157+I33</f>
        <v>14887</v>
      </c>
      <c r="I33" s="16">
        <f>4880+J33</f>
        <v>9730</v>
      </c>
      <c r="J33" s="17">
        <v>4850</v>
      </c>
      <c r="K33" s="14">
        <v>42632</v>
      </c>
      <c r="L33" s="14">
        <v>26458</v>
      </c>
    </row>
    <row r="34" spans="1:12" ht="11.25">
      <c r="A34" s="1" t="s">
        <v>27</v>
      </c>
      <c r="C34" s="24">
        <v>9486</v>
      </c>
      <c r="D34" s="14">
        <f>E34+2023</f>
        <v>8052</v>
      </c>
      <c r="E34" s="14">
        <f>F34+2522</f>
        <v>6029</v>
      </c>
      <c r="F34" s="14">
        <v>3507</v>
      </c>
      <c r="G34" s="15">
        <f>4364+H34</f>
        <v>17910</v>
      </c>
      <c r="H34" s="16">
        <f>4630+I34</f>
        <v>13546</v>
      </c>
      <c r="I34" s="16">
        <f>4469+J34</f>
        <v>8916</v>
      </c>
      <c r="J34" s="17">
        <v>4447</v>
      </c>
      <c r="K34" s="14">
        <v>39444</v>
      </c>
      <c r="L34" s="14">
        <v>25540</v>
      </c>
    </row>
    <row r="35" spans="1:12" ht="11.25">
      <c r="A35" s="1" t="s">
        <v>28</v>
      </c>
      <c r="C35" s="14">
        <f aca="true" t="shared" si="5" ref="C35:L35">C33-C34</f>
        <v>1765</v>
      </c>
      <c r="D35" s="14">
        <f t="shared" si="5"/>
        <v>1336</v>
      </c>
      <c r="E35" s="14">
        <f t="shared" si="5"/>
        <v>884</v>
      </c>
      <c r="F35" s="14">
        <f t="shared" si="5"/>
        <v>381</v>
      </c>
      <c r="G35" s="15">
        <f t="shared" si="5"/>
        <v>1811</v>
      </c>
      <c r="H35" s="16">
        <f t="shared" si="5"/>
        <v>1341</v>
      </c>
      <c r="I35" s="16">
        <f t="shared" si="5"/>
        <v>814</v>
      </c>
      <c r="J35" s="17">
        <f t="shared" si="5"/>
        <v>403</v>
      </c>
      <c r="K35" s="14">
        <f t="shared" si="5"/>
        <v>3188</v>
      </c>
      <c r="L35" s="14">
        <f t="shared" si="5"/>
        <v>918</v>
      </c>
    </row>
    <row r="36" spans="1:12" ht="11.25">
      <c r="A36" s="1" t="s">
        <v>29</v>
      </c>
      <c r="C36" s="24">
        <v>551</v>
      </c>
      <c r="D36" s="14">
        <f>E36+134</f>
        <v>501</v>
      </c>
      <c r="E36" s="14">
        <f>F36+52</f>
        <v>367</v>
      </c>
      <c r="F36" s="14">
        <v>315</v>
      </c>
      <c r="G36" s="15">
        <f>349+H36</f>
        <v>1596</v>
      </c>
      <c r="H36" s="16">
        <f>339+I36</f>
        <v>1247</v>
      </c>
      <c r="I36" s="16">
        <f>419+J36</f>
        <v>908</v>
      </c>
      <c r="J36" s="17">
        <v>489</v>
      </c>
      <c r="K36" s="14">
        <v>1369</v>
      </c>
      <c r="L36" s="14">
        <v>1483</v>
      </c>
    </row>
    <row r="37" spans="1:12" ht="11.25">
      <c r="A37" s="1" t="s">
        <v>30</v>
      </c>
      <c r="C37" s="14">
        <f>C35+C36</f>
        <v>2316</v>
      </c>
      <c r="D37" s="14">
        <f>D35+D36</f>
        <v>1837</v>
      </c>
      <c r="E37" s="14">
        <f>E35+E36</f>
        <v>1251</v>
      </c>
      <c r="F37" s="14">
        <v>695</v>
      </c>
      <c r="G37" s="15">
        <f aca="true" t="shared" si="6" ref="G37:L37">G35+G36</f>
        <v>3407</v>
      </c>
      <c r="H37" s="16">
        <f t="shared" si="6"/>
        <v>2588</v>
      </c>
      <c r="I37" s="16">
        <f t="shared" si="6"/>
        <v>1722</v>
      </c>
      <c r="J37" s="17">
        <f t="shared" si="6"/>
        <v>892</v>
      </c>
      <c r="K37" s="14">
        <f t="shared" si="6"/>
        <v>4557</v>
      </c>
      <c r="L37" s="14">
        <f t="shared" si="6"/>
        <v>2401</v>
      </c>
    </row>
    <row r="38" spans="1:12" ht="11.25">
      <c r="A38" s="1" t="s">
        <v>31</v>
      </c>
      <c r="C38" s="24">
        <v>1088</v>
      </c>
      <c r="D38" s="14">
        <f>E38+217</f>
        <v>827</v>
      </c>
      <c r="E38" s="14">
        <f>F38+255</f>
        <v>610</v>
      </c>
      <c r="F38" s="14">
        <v>355</v>
      </c>
      <c r="G38" s="15">
        <f>221+H38</f>
        <v>1112</v>
      </c>
      <c r="H38" s="16">
        <f>233+I38</f>
        <v>891</v>
      </c>
      <c r="I38" s="16">
        <f>244+J38</f>
        <v>658</v>
      </c>
      <c r="J38" s="17">
        <v>414</v>
      </c>
      <c r="K38" s="14">
        <v>2115</v>
      </c>
      <c r="L38" s="14">
        <v>1283</v>
      </c>
    </row>
    <row r="39" spans="1:12" ht="11.25">
      <c r="A39" s="1" t="s">
        <v>32</v>
      </c>
      <c r="C39" s="14">
        <f aca="true" t="shared" si="7" ref="C39:L39">C37-C38</f>
        <v>1228</v>
      </c>
      <c r="D39" s="14">
        <f t="shared" si="7"/>
        <v>1010</v>
      </c>
      <c r="E39" s="14">
        <f t="shared" si="7"/>
        <v>641</v>
      </c>
      <c r="F39" s="14">
        <f t="shared" si="7"/>
        <v>340</v>
      </c>
      <c r="G39" s="15">
        <f t="shared" si="7"/>
        <v>2295</v>
      </c>
      <c r="H39" s="16">
        <f t="shared" si="7"/>
        <v>1697</v>
      </c>
      <c r="I39" s="16">
        <f t="shared" si="7"/>
        <v>1064</v>
      </c>
      <c r="J39" s="17">
        <f t="shared" si="7"/>
        <v>478</v>
      </c>
      <c r="K39" s="14">
        <f t="shared" si="7"/>
        <v>2442</v>
      </c>
      <c r="L39" s="14">
        <f t="shared" si="7"/>
        <v>1118</v>
      </c>
    </row>
    <row r="40" spans="1:12" ht="11.25">
      <c r="A40" s="2" t="s">
        <v>33</v>
      </c>
      <c r="B40" s="2"/>
      <c r="C40" s="45">
        <v>-708</v>
      </c>
      <c r="D40" s="46">
        <f>E40+206</f>
        <v>-126</v>
      </c>
      <c r="E40" s="46">
        <f>F40-672</f>
        <v>-332</v>
      </c>
      <c r="F40" s="18">
        <v>340</v>
      </c>
      <c r="G40" s="19">
        <f>598+H40</f>
        <v>2295</v>
      </c>
      <c r="H40" s="18">
        <f>633+I40</f>
        <v>1697</v>
      </c>
      <c r="I40" s="18">
        <f>586+J40</f>
        <v>1064</v>
      </c>
      <c r="J40" s="20">
        <v>478</v>
      </c>
      <c r="K40" s="18">
        <v>2442</v>
      </c>
      <c r="L40" s="18">
        <v>576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0</v>
      </c>
      <c r="D42" s="14">
        <v>0</v>
      </c>
      <c r="E42" s="14">
        <v>0</v>
      </c>
      <c r="F42" s="14">
        <v>0</v>
      </c>
      <c r="G42" s="15">
        <v>0</v>
      </c>
      <c r="H42" s="16">
        <v>0</v>
      </c>
      <c r="I42" s="16">
        <v>0</v>
      </c>
      <c r="J42" s="17">
        <v>0</v>
      </c>
      <c r="K42" s="14">
        <v>0</v>
      </c>
      <c r="L42" s="14">
        <v>0</v>
      </c>
    </row>
    <row r="43" spans="1:12" ht="11.25">
      <c r="A43" s="1" t="s">
        <v>36</v>
      </c>
      <c r="C43" s="1">
        <v>1872</v>
      </c>
      <c r="D43" s="14">
        <v>1090</v>
      </c>
      <c r="E43" s="14">
        <v>1000</v>
      </c>
      <c r="F43" s="14">
        <v>27</v>
      </c>
      <c r="G43" s="15">
        <v>27</v>
      </c>
      <c r="H43" s="16">
        <v>27</v>
      </c>
      <c r="I43" s="16">
        <v>27</v>
      </c>
      <c r="J43" s="17">
        <v>27</v>
      </c>
      <c r="K43" s="14">
        <v>27</v>
      </c>
      <c r="L43" s="14">
        <v>27</v>
      </c>
    </row>
    <row r="44" spans="1:12" ht="11.25">
      <c r="A44" s="1" t="s">
        <v>37</v>
      </c>
      <c r="C44" s="25">
        <f aca="true" t="shared" si="8" ref="C44:L44">C42/C13</f>
        <v>0</v>
      </c>
      <c r="D44" s="25">
        <f t="shared" si="8"/>
        <v>0</v>
      </c>
      <c r="E44" s="25">
        <f t="shared" si="8"/>
        <v>0</v>
      </c>
      <c r="F44" s="25">
        <f t="shared" si="8"/>
        <v>0</v>
      </c>
      <c r="G44" s="26">
        <f t="shared" si="8"/>
        <v>0</v>
      </c>
      <c r="H44" s="27">
        <f t="shared" si="8"/>
        <v>0</v>
      </c>
      <c r="I44" s="27">
        <f t="shared" si="8"/>
        <v>0</v>
      </c>
      <c r="J44" s="28">
        <f t="shared" si="8"/>
        <v>0</v>
      </c>
      <c r="K44" s="25">
        <f t="shared" si="8"/>
        <v>0</v>
      </c>
      <c r="L44" s="25">
        <f t="shared" si="8"/>
        <v>0</v>
      </c>
    </row>
    <row r="45" spans="1:12" ht="11.25">
      <c r="A45" s="1" t="s">
        <v>38</v>
      </c>
      <c r="C45" s="25">
        <v>0</v>
      </c>
      <c r="D45" s="25">
        <v>0</v>
      </c>
      <c r="E45" s="25">
        <v>0</v>
      </c>
      <c r="F45" s="25">
        <v>0</v>
      </c>
      <c r="G45" s="26">
        <v>0</v>
      </c>
      <c r="H45" s="27">
        <v>0</v>
      </c>
      <c r="I45" s="27">
        <v>0</v>
      </c>
      <c r="J45" s="28">
        <v>0</v>
      </c>
      <c r="K45" s="25">
        <v>0</v>
      </c>
      <c r="L45" s="25">
        <v>0</v>
      </c>
    </row>
    <row r="46" spans="1:12" ht="11.25">
      <c r="A46" s="2" t="s">
        <v>39</v>
      </c>
      <c r="B46" s="2"/>
      <c r="C46" s="29">
        <f aca="true" t="shared" si="9" ref="C46:L46">C43/C13</f>
        <v>0.010002083767451552</v>
      </c>
      <c r="D46" s="29">
        <f t="shared" si="9"/>
        <v>0.005091174052761378</v>
      </c>
      <c r="E46" s="29">
        <f t="shared" si="9"/>
        <v>0.0053923181036295694</v>
      </c>
      <c r="F46" s="29">
        <f t="shared" si="9"/>
        <v>0.00011333632765112559</v>
      </c>
      <c r="G46" s="30">
        <f t="shared" si="9"/>
        <v>0.00010829716742742084</v>
      </c>
      <c r="H46" s="29">
        <f t="shared" si="9"/>
        <v>9.105563836747358E-05</v>
      </c>
      <c r="I46" s="29">
        <f t="shared" si="9"/>
        <v>9.790519151343295E-05</v>
      </c>
      <c r="J46" s="31">
        <f t="shared" si="9"/>
        <v>8.579354260602651E-05</v>
      </c>
      <c r="K46" s="29">
        <f t="shared" si="9"/>
        <v>8.495080718998462E-05</v>
      </c>
      <c r="L46" s="29">
        <f t="shared" si="9"/>
        <v>6.33123620904335E-05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5">
        <f aca="true" t="shared" si="10" ref="C48:L48">C25/(C13+C16)</f>
        <v>0.05731429090462222</v>
      </c>
      <c r="D48" s="25">
        <f t="shared" si="10"/>
        <v>0.048151296614602795</v>
      </c>
      <c r="E48" s="25">
        <f t="shared" si="10"/>
        <v>0.05447319748286591</v>
      </c>
      <c r="F48" s="25">
        <f t="shared" si="10"/>
        <v>0.05425871745253517</v>
      </c>
      <c r="G48" s="26">
        <f t="shared" si="10"/>
        <v>0.05048252404598218</v>
      </c>
      <c r="H48" s="27">
        <f t="shared" si="10"/>
        <v>0.040432075866208915</v>
      </c>
      <c r="I48" s="27">
        <f t="shared" si="10"/>
        <v>0.041189076681521664</v>
      </c>
      <c r="J48" s="28">
        <f t="shared" si="10"/>
        <v>0.039957548084103095</v>
      </c>
      <c r="K48" s="25">
        <f t="shared" si="10"/>
        <v>0.03807054692588199</v>
      </c>
      <c r="L48" s="25">
        <f t="shared" si="10"/>
        <v>0.006406273082632012</v>
      </c>
    </row>
    <row r="49" spans="1:12" ht="11.25">
      <c r="A49" s="2" t="s">
        <v>42</v>
      </c>
      <c r="B49" s="2"/>
      <c r="C49" s="29">
        <f>C25/C13</f>
        <v>0.05731429090462222</v>
      </c>
      <c r="D49" s="29">
        <f aca="true" t="shared" si="11" ref="D49:L49">D25/D11</f>
        <v>0.04537531801015872</v>
      </c>
      <c r="E49" s="29">
        <f t="shared" si="11"/>
        <v>0.04852648012489492</v>
      </c>
      <c r="F49" s="29">
        <f t="shared" si="11"/>
        <v>0.0496121531735888</v>
      </c>
      <c r="G49" s="30">
        <f t="shared" si="11"/>
        <v>0.044725255590656945</v>
      </c>
      <c r="H49" s="29">
        <f t="shared" si="11"/>
        <v>0.036090248197594786</v>
      </c>
      <c r="I49" s="29">
        <f t="shared" si="11"/>
        <v>0.03882874537244352</v>
      </c>
      <c r="J49" s="31">
        <f t="shared" si="11"/>
        <v>0.03723112907284866</v>
      </c>
      <c r="K49" s="29">
        <f t="shared" si="11"/>
        <v>0.03467903265561141</v>
      </c>
      <c r="L49" s="29">
        <f t="shared" si="11"/>
        <v>0.0058835690780972725</v>
      </c>
    </row>
    <row r="50" spans="1:12" ht="11.25">
      <c r="A50" s="9" t="s">
        <v>43</v>
      </c>
      <c r="G50" s="32"/>
      <c r="H50" s="33"/>
      <c r="I50" s="33"/>
      <c r="J50" s="34"/>
      <c r="K50" s="35"/>
      <c r="L50" s="35"/>
    </row>
    <row r="51" spans="1:12" ht="11.25">
      <c r="A51" s="1" t="s">
        <v>44</v>
      </c>
      <c r="C51" s="35">
        <f aca="true" t="shared" si="12" ref="C51:L51">C12/C17</f>
        <v>0.11448828700259614</v>
      </c>
      <c r="D51" s="35">
        <f t="shared" si="12"/>
        <v>0.054031889811475484</v>
      </c>
      <c r="E51" s="35">
        <f t="shared" si="12"/>
        <v>0.10780830449120443</v>
      </c>
      <c r="F51" s="35">
        <f t="shared" si="12"/>
        <v>0.08161230188126307</v>
      </c>
      <c r="G51" s="32">
        <f t="shared" si="12"/>
        <v>0.11060929452673986</v>
      </c>
      <c r="H51" s="33">
        <f t="shared" si="12"/>
        <v>0.10229384674508124</v>
      </c>
      <c r="I51" s="33">
        <f t="shared" si="12"/>
        <v>0.05163686904689409</v>
      </c>
      <c r="J51" s="34">
        <f t="shared" si="12"/>
        <v>0.06229464496050984</v>
      </c>
      <c r="K51" s="35">
        <f t="shared" si="12"/>
        <v>0.08290298147765614</v>
      </c>
      <c r="L51" s="35">
        <f t="shared" si="12"/>
        <v>0.0729089053831716</v>
      </c>
    </row>
    <row r="52" spans="1:12" ht="11.25">
      <c r="A52" s="1" t="s">
        <v>45</v>
      </c>
      <c r="C52" s="35">
        <f aca="true" t="shared" si="13" ref="C52:L52">C12/C11</f>
        <v>0.10718042013701357</v>
      </c>
      <c r="D52" s="35">
        <f t="shared" si="13"/>
        <v>0.05104008028381031</v>
      </c>
      <c r="E52" s="35">
        <f t="shared" si="13"/>
        <v>0.10144830070853848</v>
      </c>
      <c r="F52" s="35">
        <f t="shared" si="13"/>
        <v>0.07695909664889596</v>
      </c>
      <c r="G52" s="32">
        <f t="shared" si="13"/>
        <v>0.10478417381230744</v>
      </c>
      <c r="H52" s="33">
        <f t="shared" si="13"/>
        <v>0.0977558361805566</v>
      </c>
      <c r="I52" s="33">
        <f t="shared" si="13"/>
        <v>0.04927514433874226</v>
      </c>
      <c r="J52" s="34">
        <f t="shared" si="13"/>
        <v>0.059501709819247676</v>
      </c>
      <c r="K52" s="35">
        <f t="shared" si="13"/>
        <v>0.07936626217348687</v>
      </c>
      <c r="L52" s="35">
        <f t="shared" si="13"/>
        <v>0.07186051720276347</v>
      </c>
    </row>
    <row r="53" spans="1:12" ht="11.25">
      <c r="A53" s="2" t="s">
        <v>46</v>
      </c>
      <c r="B53" s="2"/>
      <c r="C53" s="36">
        <f aca="true" t="shared" si="14" ref="C53:L53">(C12+C16)/C17</f>
        <v>0.11448828700259614</v>
      </c>
      <c r="D53" s="36">
        <f t="shared" si="14"/>
        <v>0.054031889811475484</v>
      </c>
      <c r="E53" s="36">
        <f t="shared" si="14"/>
        <v>0.10780830449120443</v>
      </c>
      <c r="F53" s="36">
        <f t="shared" si="14"/>
        <v>0.08161230188126307</v>
      </c>
      <c r="G53" s="37">
        <f t="shared" si="14"/>
        <v>0.11060929452673986</v>
      </c>
      <c r="H53" s="36">
        <f t="shared" si="14"/>
        <v>0.10229384674508124</v>
      </c>
      <c r="I53" s="36">
        <f t="shared" si="14"/>
        <v>0.05163686904689409</v>
      </c>
      <c r="J53" s="38">
        <f t="shared" si="14"/>
        <v>0.06229464496050984</v>
      </c>
      <c r="K53" s="36">
        <f t="shared" si="14"/>
        <v>0.08290298147765614</v>
      </c>
      <c r="L53" s="36">
        <f t="shared" si="14"/>
        <v>0.0729089053831716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39">
        <f>C40/C28</f>
        <v>-0.0032441720602554556</v>
      </c>
      <c r="D55" s="39">
        <f>(D40/0.75)/D28</f>
        <v>-0.0006580261565397224</v>
      </c>
      <c r="E55" s="25">
        <f>(E40/0.5)/E28</f>
        <v>-0.0028792826076587184</v>
      </c>
      <c r="F55" s="25">
        <f>((F40)/0.25)/F28</f>
        <v>0.004919177195273249</v>
      </c>
      <c r="G55" s="40">
        <f>G40/G28</f>
        <v>0.008093168413721359</v>
      </c>
      <c r="H55" s="39">
        <f>(H40/0.75)/H28</f>
        <v>0.007245344241909961</v>
      </c>
      <c r="I55" s="39">
        <f>(I40/0.5)/I28</f>
        <v>0.007079151433295299</v>
      </c>
      <c r="J55" s="28">
        <f>((J40)/0.25)/J28</f>
        <v>0.005233903761320849</v>
      </c>
      <c r="K55" s="25">
        <f>K40/K28</f>
        <v>0.006561976009286727</v>
      </c>
      <c r="L55" s="25">
        <f>L40/L28</f>
        <v>0.0012627023803912843</v>
      </c>
    </row>
    <row r="56" spans="1:12" ht="11.25">
      <c r="A56" s="1" t="s">
        <v>49</v>
      </c>
      <c r="B56" s="22"/>
      <c r="C56" s="39">
        <f>C40/C27</f>
        <v>-0.002875237826433913</v>
      </c>
      <c r="D56" s="39">
        <f>(D40/0.75)/D27</f>
        <v>-0.0006006553578994224</v>
      </c>
      <c r="E56" s="25">
        <f>(E40/0.5)/E27</f>
        <v>-0.0026522020466691696</v>
      </c>
      <c r="F56" s="25">
        <f>((F40)/0.25)/F27</f>
        <v>0.004546244668190996</v>
      </c>
      <c r="G56" s="40">
        <f>G40/G27</f>
        <v>0.007282003931330227</v>
      </c>
      <c r="H56" s="39">
        <f>(H40/0.75)/H27</f>
        <v>0.00653551350669582</v>
      </c>
      <c r="I56" s="39">
        <f>(I40/0.5)/I27</f>
        <v>0.006673168406561531</v>
      </c>
      <c r="J56" s="28">
        <f>((J40)/0.25)/J27</f>
        <v>0.004897352816874352</v>
      </c>
      <c r="K56" s="25">
        <f>K40/K27</f>
        <v>0.0060054742775355425</v>
      </c>
      <c r="L56" s="25">
        <f>L40/L27</f>
        <v>0.0011829725883070552</v>
      </c>
    </row>
    <row r="57" spans="1:12" ht="11.25">
      <c r="A57" s="1" t="s">
        <v>50</v>
      </c>
      <c r="B57" s="22"/>
      <c r="C57" s="39">
        <f>+C40/C31</f>
        <v>-0.06073864367520267</v>
      </c>
      <c r="D57" s="39">
        <f>(D40/0.75)/D31</f>
        <v>-0.015068616019373935</v>
      </c>
      <c r="E57" s="25">
        <f>(E40/0.5)/E31</f>
        <v>-0.06187968873771026</v>
      </c>
      <c r="F57" s="25">
        <f>((F40)/0.25)/F31</f>
        <v>0.10666248382416375</v>
      </c>
      <c r="G57" s="40">
        <f>+G40/G31</f>
        <v>0.1859353479705096</v>
      </c>
      <c r="H57" s="39">
        <f>(H40/0.75)/H31</f>
        <v>0.19186523078662482</v>
      </c>
      <c r="I57" s="39">
        <f>(I40/0.5)/I31</f>
        <v>0.18955150759364006</v>
      </c>
      <c r="J57" s="28">
        <f>((J40)/0.25)/J31</f>
        <v>0.24723605094717785</v>
      </c>
      <c r="K57" s="25">
        <f>K40/K31</f>
        <v>0.32928802588996764</v>
      </c>
      <c r="L57" s="25">
        <f>L40/L31</f>
        <v>0.18637760880116486</v>
      </c>
    </row>
    <row r="58" spans="1:12" ht="11.25">
      <c r="A58" s="1" t="s">
        <v>51</v>
      </c>
      <c r="B58" s="22"/>
      <c r="C58" s="39">
        <f>C33/C28</f>
        <v>0.05155392634171487</v>
      </c>
      <c r="D58" s="39">
        <f>(D33/0.75)/D28</f>
        <v>0.049028171092023135</v>
      </c>
      <c r="E58" s="25">
        <f>(E33/0.5)/E28</f>
        <v>0.05995325502031542</v>
      </c>
      <c r="F58" s="25">
        <f>((F33)/0.25)/F28</f>
        <v>0.056252238044771745</v>
      </c>
      <c r="G58" s="40">
        <f>G33/G28</f>
        <v>0.06954482539738514</v>
      </c>
      <c r="H58" s="39">
        <f>(H33/0.75)/H28</f>
        <v>0.0635600705535142</v>
      </c>
      <c r="I58" s="39">
        <f>(I33/0.5)/I28</f>
        <v>0.0647369769228978</v>
      </c>
      <c r="J58" s="28">
        <f>((J33)/0.25)/J28</f>
        <v>0.053105508875326606</v>
      </c>
      <c r="K58" s="25">
        <f>K33/K28</f>
        <v>0.11455780558063546</v>
      </c>
      <c r="L58" s="25">
        <f>L33/L27</f>
        <v>0.05433869573164595</v>
      </c>
    </row>
    <row r="59" spans="1:12" ht="11.25">
      <c r="A59" s="1" t="s">
        <v>52</v>
      </c>
      <c r="B59" s="22"/>
      <c r="C59" s="39">
        <f>C34/C28</f>
        <v>0.043466407010710806</v>
      </c>
      <c r="D59" s="39">
        <f>(D34/0.75)/D28</f>
        <v>0.04205100486077655</v>
      </c>
      <c r="E59" s="25">
        <f>(E34/0.5)/E28</f>
        <v>0.05228673145052534</v>
      </c>
      <c r="F59" s="25">
        <f>((F34)/0.25)/F28</f>
        <v>0.05073986595242143</v>
      </c>
      <c r="G59" s="40">
        <f>G34/G28</f>
        <v>0.06315845154237452</v>
      </c>
      <c r="H59" s="39">
        <f>(H34/0.75)/H28</f>
        <v>0.0578346688868075</v>
      </c>
      <c r="I59" s="39">
        <f>(I34/0.5)/I28</f>
        <v>0.05932115994291436</v>
      </c>
      <c r="J59" s="28">
        <f>((J34)/0.25)/J28</f>
        <v>0.048692824323418024</v>
      </c>
      <c r="K59" s="25">
        <f>K34/K28</f>
        <v>0.10599122920159938</v>
      </c>
      <c r="L59" s="25">
        <f>L34/L27</f>
        <v>0.052453333169031585</v>
      </c>
    </row>
    <row r="60" spans="1:12" ht="11.25">
      <c r="A60" s="1" t="s">
        <v>53</v>
      </c>
      <c r="B60" s="22"/>
      <c r="C60" s="39">
        <f>C35/C28</f>
        <v>0.008087519331004068</v>
      </c>
      <c r="D60" s="39">
        <f>(D35/0.75)/D28</f>
        <v>0.006977166231246581</v>
      </c>
      <c r="E60" s="25">
        <f>(E35/0.5)/E28</f>
        <v>0.007666523569790081</v>
      </c>
      <c r="F60" s="25">
        <f>((F35)/0.25)/F28</f>
        <v>0.005512372092350318</v>
      </c>
      <c r="G60" s="40">
        <f>G35/G28</f>
        <v>0.006386373855010624</v>
      </c>
      <c r="H60" s="39">
        <f>(H35/0.75)/H28</f>
        <v>0.005725401666706693</v>
      </c>
      <c r="I60" s="39">
        <f>(I35/0.5)/I28</f>
        <v>0.005415816979983433</v>
      </c>
      <c r="J60" s="28">
        <f>((J35)/0.25)/J28</f>
        <v>0.004412684551908582</v>
      </c>
      <c r="K60" s="25">
        <f>K35/K28</f>
        <v>0.008566576379036073</v>
      </c>
      <c r="L60" s="25">
        <f>L35/L27</f>
        <v>0.0018853625626143694</v>
      </c>
    </row>
    <row r="61" spans="1:12" ht="11.25">
      <c r="A61" s="1" t="s">
        <v>54</v>
      </c>
      <c r="B61" s="22"/>
      <c r="C61" s="39">
        <f>C38/C37</f>
        <v>0.4697754749568221</v>
      </c>
      <c r="D61" s="39">
        <f>(D38/0.75)/(D37/0.75)</f>
        <v>0.4501905280348394</v>
      </c>
      <c r="E61" s="25">
        <f>(E38/0.5)/(E37/0.5)</f>
        <v>0.4876099120703437</v>
      </c>
      <c r="F61" s="25">
        <f>(F38/0.25)/(F37/0.25)</f>
        <v>0.5107913669064749</v>
      </c>
      <c r="G61" s="40">
        <f>G38/G37</f>
        <v>0.32638685060170236</v>
      </c>
      <c r="H61" s="39">
        <f>(H38/0.75)/(H37/0.75)</f>
        <v>0.34428129829984544</v>
      </c>
      <c r="I61" s="39">
        <f>(I38/0.5)/(I37/0.5)</f>
        <v>0.3821138211382114</v>
      </c>
      <c r="J61" s="28">
        <f>(J38/0.25)/(J37/0.25)</f>
        <v>0.4641255605381166</v>
      </c>
      <c r="K61" s="25">
        <f>K38/K37</f>
        <v>0.4641211323238973</v>
      </c>
      <c r="L61" s="25">
        <f>L38/L37</f>
        <v>0.5343606830487297</v>
      </c>
    </row>
    <row r="62" spans="1:12" ht="11.25">
      <c r="A62" s="2" t="s">
        <v>55</v>
      </c>
      <c r="B62" s="2"/>
      <c r="C62" s="41">
        <f>C36/C28</f>
        <v>0.0025247723237298812</v>
      </c>
      <c r="D62" s="41">
        <f>(D36/0.75)/D28</f>
        <v>0.002616437336717468</v>
      </c>
      <c r="E62" s="29">
        <f>(E36/0.5)/E28</f>
        <v>0.0031828214367793663</v>
      </c>
      <c r="F62" s="29">
        <f>(F36/0.25)/F28</f>
        <v>0.004557472989738452</v>
      </c>
      <c r="G62" s="42">
        <f>G36/G28</f>
        <v>0.005628190321699036</v>
      </c>
      <c r="H62" s="41">
        <f>(H36/0.75)/H28</f>
        <v>0.005324068514827179</v>
      </c>
      <c r="I62" s="41">
        <f>(I36/0.5)/I28</f>
        <v>0.006041230734428695</v>
      </c>
      <c r="J62" s="31">
        <f>(J36/0.25)/J28</f>
        <v>0.005354349245367982</v>
      </c>
      <c r="K62" s="29">
        <f>K36/K28</f>
        <v>0.0036786835203577108</v>
      </c>
      <c r="L62" s="29">
        <f>L36/L27</f>
        <v>0.0030457436605197275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12</v>
      </c>
      <c r="D64" s="14">
        <v>15</v>
      </c>
      <c r="E64" s="14">
        <v>15</v>
      </c>
      <c r="F64" s="14">
        <v>16</v>
      </c>
      <c r="G64" s="15">
        <v>16</v>
      </c>
      <c r="H64" s="16">
        <v>16</v>
      </c>
      <c r="I64" s="16">
        <v>16</v>
      </c>
      <c r="J64" s="17">
        <v>17</v>
      </c>
      <c r="K64" s="14">
        <v>18</v>
      </c>
      <c r="L64" s="14">
        <v>17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5" ref="C66:L66">C13/C64</f>
        <v>15596.75</v>
      </c>
      <c r="D66" s="14">
        <f t="shared" si="15"/>
        <v>14273.066666666668</v>
      </c>
      <c r="E66" s="14">
        <f t="shared" si="15"/>
        <v>12363.266666666666</v>
      </c>
      <c r="F66" s="14">
        <f t="shared" si="15"/>
        <v>14889.3125</v>
      </c>
      <c r="G66" s="15">
        <f t="shared" si="15"/>
        <v>15582.125</v>
      </c>
      <c r="H66" s="16">
        <f t="shared" si="15"/>
        <v>18532.625</v>
      </c>
      <c r="I66" s="16">
        <f t="shared" si="15"/>
        <v>17236.0625</v>
      </c>
      <c r="J66" s="17">
        <f t="shared" si="15"/>
        <v>18512.29411764706</v>
      </c>
      <c r="K66" s="14">
        <f t="shared" si="15"/>
        <v>17657.277777777777</v>
      </c>
      <c r="L66" s="14">
        <f t="shared" si="15"/>
        <v>25085.70588235294</v>
      </c>
    </row>
    <row r="67" spans="1:12" ht="11.25">
      <c r="A67" s="1" t="s">
        <v>60</v>
      </c>
      <c r="C67" s="14">
        <f aca="true" t="shared" si="16" ref="C67:L67">C17/C64</f>
        <v>16466.75</v>
      </c>
      <c r="D67" s="14">
        <f t="shared" si="16"/>
        <v>14307.6</v>
      </c>
      <c r="E67" s="14">
        <f t="shared" si="16"/>
        <v>13059.6</v>
      </c>
      <c r="F67" s="14">
        <f t="shared" si="16"/>
        <v>15355.375</v>
      </c>
      <c r="G67" s="15">
        <f t="shared" si="16"/>
        <v>16661.6875</v>
      </c>
      <c r="H67" s="16">
        <f t="shared" si="16"/>
        <v>19841.125</v>
      </c>
      <c r="I67" s="16">
        <f t="shared" si="16"/>
        <v>17447.5625</v>
      </c>
      <c r="J67" s="17">
        <f t="shared" si="16"/>
        <v>18977.176470588234</v>
      </c>
      <c r="K67" s="14">
        <f t="shared" si="16"/>
        <v>18557.166666666668</v>
      </c>
      <c r="L67" s="14">
        <f t="shared" si="16"/>
        <v>26921.58823529412</v>
      </c>
    </row>
    <row r="68" spans="1:12" ht="11.25">
      <c r="A68" s="2" t="s">
        <v>61</v>
      </c>
      <c r="B68" s="2"/>
      <c r="C68" s="46">
        <f aca="true" t="shared" si="17" ref="C68:L68">(C40/C64)</f>
        <v>-59</v>
      </c>
      <c r="D68" s="46">
        <f t="shared" si="17"/>
        <v>-8.4</v>
      </c>
      <c r="E68" s="46">
        <f t="shared" si="17"/>
        <v>-22.133333333333333</v>
      </c>
      <c r="F68" s="18">
        <f t="shared" si="17"/>
        <v>21.25</v>
      </c>
      <c r="G68" s="19">
        <f t="shared" si="17"/>
        <v>143.4375</v>
      </c>
      <c r="H68" s="18">
        <f t="shared" si="17"/>
        <v>106.0625</v>
      </c>
      <c r="I68" s="18">
        <f t="shared" si="17"/>
        <v>66.5</v>
      </c>
      <c r="J68" s="20">
        <f t="shared" si="17"/>
        <v>28.11764705882353</v>
      </c>
      <c r="K68" s="18">
        <f t="shared" si="17"/>
        <v>135.66666666666666</v>
      </c>
      <c r="L68" s="18">
        <f t="shared" si="17"/>
        <v>33.88235294117647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5">
        <f>(C11/G11)-1</f>
        <v>-0.24993337052738562</v>
      </c>
      <c r="D70" s="25">
        <f>(D11/H11)-1</f>
        <v>-0.31608242146931775</v>
      </c>
      <c r="E70" s="25">
        <f>(E11/I11)-1</f>
        <v>-0.28839034528493446</v>
      </c>
      <c r="F70" s="25">
        <f>(F11/J11)-1</f>
        <v>-0.22860949504818584</v>
      </c>
      <c r="G70" s="26">
        <f>(G11/K11)-1</f>
        <v>-0.19347747582498842</v>
      </c>
      <c r="H70" s="27">
        <f>(H11/360227)-1</f>
        <v>-0.07781759834770852</v>
      </c>
      <c r="I70" s="27">
        <f>(I11/345237)-1</f>
        <v>-0.15263717388344822</v>
      </c>
      <c r="J70" s="28">
        <f>(J11/443075)-1</f>
        <v>-0.23770242058342272</v>
      </c>
      <c r="K70" s="25">
        <f>(K11/L11)-1</f>
        <v>-0.24858725427700157</v>
      </c>
      <c r="L70" s="25">
        <f>(L11/509474)-1</f>
        <v>-0.08858155666432443</v>
      </c>
    </row>
    <row r="71" spans="1:12" ht="11.25">
      <c r="A71" s="1" t="s">
        <v>64</v>
      </c>
      <c r="C71" s="25">
        <f aca="true" t="shared" si="18" ref="C71:E73">(C13/G13)-1</f>
        <v>-0.2492960684117218</v>
      </c>
      <c r="D71" s="25">
        <f t="shared" si="18"/>
        <v>-0.27797600178064363</v>
      </c>
      <c r="E71" s="25">
        <f t="shared" si="18"/>
        <v>-0.3275400051490879</v>
      </c>
      <c r="F71" s="25">
        <f>F13/J13-1</f>
        <v>-0.24301815327810772</v>
      </c>
      <c r="G71" s="26">
        <f>(G13/K13)-1</f>
        <v>-0.215576831712451</v>
      </c>
      <c r="H71" s="27">
        <f>H13/328063-1</f>
        <v>-0.09614311885217164</v>
      </c>
      <c r="I71" s="27">
        <f>I13/325425-1</f>
        <v>-0.15256357071521853</v>
      </c>
      <c r="J71" s="28">
        <f>J13/415912-1</f>
        <v>-0.24332791552059085</v>
      </c>
      <c r="K71" s="25">
        <f>(K13/L13)-1</f>
        <v>-0.25471735720131217</v>
      </c>
      <c r="L71" s="25">
        <f>L13/485872-1</f>
        <v>-0.12228529324595783</v>
      </c>
    </row>
    <row r="72" spans="2:12" ht="11.25">
      <c r="B72" s="1" t="s">
        <v>15</v>
      </c>
      <c r="C72" s="25">
        <f t="shared" si="18"/>
        <v>1.9401709401709404</v>
      </c>
      <c r="D72" s="25">
        <f t="shared" si="18"/>
        <v>-0.5332258064516129</v>
      </c>
      <c r="E72" s="25">
        <f t="shared" si="18"/>
        <v>-0.676881067961165</v>
      </c>
      <c r="F72" s="25">
        <f>(F14/J14)-1</f>
        <v>-0.9073482428115016</v>
      </c>
      <c r="G72" s="26">
        <f>(G14/K14)-1</f>
        <v>-0.7634770889487871</v>
      </c>
      <c r="H72" s="27">
        <f>(H14/4409)-1</f>
        <v>-0.29689271943751416</v>
      </c>
      <c r="I72" s="27">
        <f>(I14/3967)-1</f>
        <v>-0.16914544996218805</v>
      </c>
      <c r="J72" s="28">
        <f>(J14/3498)-1</f>
        <v>-0.10520297312750138</v>
      </c>
      <c r="K72" s="25">
        <f>(K14/L14)-1</f>
        <v>0.5325301204819277</v>
      </c>
      <c r="L72" s="25">
        <f>(L14/5362)-1</f>
        <v>-0.45822454308093996</v>
      </c>
    </row>
    <row r="73" spans="2:12" ht="11.25">
      <c r="B73" s="1" t="s">
        <v>16</v>
      </c>
      <c r="C73" s="25">
        <f t="shared" si="18"/>
        <v>-0.25858270127003435</v>
      </c>
      <c r="D73" s="25">
        <f t="shared" si="18"/>
        <v>-0.2752792905780752</v>
      </c>
      <c r="E73" s="25">
        <f t="shared" si="18"/>
        <v>-0.32331428613371205</v>
      </c>
      <c r="F73" s="25">
        <f>(F15/J15)-1</f>
        <v>-0.23634455467152793</v>
      </c>
      <c r="G73" s="26">
        <f>(G15/K15)-1</f>
        <v>-0.2077931195134326</v>
      </c>
      <c r="H73" s="27">
        <f>(H15/323654)-1</f>
        <v>-0.09340839291341985</v>
      </c>
      <c r="I73" s="27">
        <f>(I15/321459)-1</f>
        <v>-0.15236157643743053</v>
      </c>
      <c r="J73" s="28">
        <f>(J15/412414)-1</f>
        <v>-0.24449945928120775</v>
      </c>
      <c r="K73" s="25">
        <f>(K15/L15)-1</f>
        <v>-0.2601168215472952</v>
      </c>
      <c r="L73" s="25">
        <f>(L15/480510)-1</f>
        <v>-0.11853655491040771</v>
      </c>
    </row>
    <row r="74" spans="1:12" ht="11.25">
      <c r="A74" s="1" t="s">
        <v>65</v>
      </c>
      <c r="C74" s="25">
        <f aca="true" t="shared" si="19" ref="C74:G75">(C17/G17)-1</f>
        <v>-0.25877480897418104</v>
      </c>
      <c r="D74" s="25">
        <f t="shared" si="19"/>
        <v>-0.3239609649150439</v>
      </c>
      <c r="E74" s="25">
        <f t="shared" si="19"/>
        <v>-0.29827590530195836</v>
      </c>
      <c r="F74" s="25">
        <f t="shared" si="19"/>
        <v>-0.23844742291049315</v>
      </c>
      <c r="G74" s="26">
        <f t="shared" si="19"/>
        <v>-0.20190462504752582</v>
      </c>
      <c r="H74" s="27">
        <f>H17/345686-1</f>
        <v>-0.08165792077203016</v>
      </c>
      <c r="I74" s="27">
        <f>I17/331849-1</f>
        <v>-0.15877100729548677</v>
      </c>
      <c r="J74" s="28">
        <f>J17/436517-1</f>
        <v>-0.2609405819246444</v>
      </c>
      <c r="K74" s="25">
        <f>(K17/L17)-1</f>
        <v>-0.27014838299462274</v>
      </c>
      <c r="L74" s="25">
        <f>L17/501147-1</f>
        <v>-0.08676097033405372</v>
      </c>
    </row>
    <row r="75" spans="2:12" ht="11.25">
      <c r="B75" s="1" t="s">
        <v>15</v>
      </c>
      <c r="C75" s="25">
        <f t="shared" si="19"/>
        <v>0.500586854460094</v>
      </c>
      <c r="D75" s="25">
        <f t="shared" si="19"/>
        <v>-0.016175071360608917</v>
      </c>
      <c r="E75" s="25">
        <f t="shared" si="19"/>
        <v>0.48979591836734704</v>
      </c>
      <c r="F75" s="25">
        <f t="shared" si="19"/>
        <v>-0.2734107997265892</v>
      </c>
      <c r="G75" s="26">
        <f t="shared" si="19"/>
        <v>-0.3686550574286773</v>
      </c>
      <c r="H75" s="27">
        <f>(H18/2733)-1</f>
        <v>0.15367727771679474</v>
      </c>
      <c r="I75" s="27">
        <f>(I18/4948)-1</f>
        <v>-0.47514147130153594</v>
      </c>
      <c r="J75" s="28">
        <f>(J18/4396)-1</f>
        <v>-0.0015923566878981443</v>
      </c>
      <c r="K75" s="25">
        <f>(K18/L18)-1</f>
        <v>0.2988450433108758</v>
      </c>
      <c r="L75" s="25">
        <f>(L18/5750)-1</f>
        <v>-0.27721739130434786</v>
      </c>
    </row>
    <row r="76" spans="2:12" ht="11.25">
      <c r="B76" s="1" t="s">
        <v>16</v>
      </c>
      <c r="C76" s="25">
        <f>(C22/G22)-1</f>
        <v>-0.2686080576337778</v>
      </c>
      <c r="D76" s="25">
        <f>(D22/H22)-1</f>
        <v>-0.3270485674742686</v>
      </c>
      <c r="E76" s="25">
        <f>(E22/I22)-1</f>
        <v>-0.3056760822088197</v>
      </c>
      <c r="F76" s="25">
        <f>(F22/J22)-1</f>
        <v>-0.237965200504049</v>
      </c>
      <c r="G76" s="26">
        <f>(G22/K22)-1</f>
        <v>-0.19916562953586237</v>
      </c>
      <c r="H76" s="27">
        <f>(H22/342952)-1</f>
        <v>-0.08353063985630638</v>
      </c>
      <c r="I76" s="27">
        <f>(I22/326901)-1</f>
        <v>-0.1539823983407821</v>
      </c>
      <c r="J76" s="28">
        <f>(J22/432120)-1</f>
        <v>-0.2635772470610016</v>
      </c>
      <c r="K76" s="25">
        <f>(K22/L22)-1</f>
        <v>-0.2753626703652171</v>
      </c>
      <c r="L76" s="25">
        <f>(L22/495398)-1</f>
        <v>-0.08455221862018014</v>
      </c>
    </row>
    <row r="77" spans="1:12" ht="11.25">
      <c r="A77" s="1" t="s">
        <v>66</v>
      </c>
      <c r="C77" s="25">
        <f>(C25/G25)-1</f>
        <v>-0.1477037978706499</v>
      </c>
      <c r="D77" s="25">
        <f>(D25/H25)-1</f>
        <v>-0.1401284510801568</v>
      </c>
      <c r="E77" s="25">
        <f>(E25/I25)-1</f>
        <v>-0.11066114974909769</v>
      </c>
      <c r="F77" s="25">
        <f>(F25/J25)-1</f>
        <v>0.027912524850894682</v>
      </c>
      <c r="G77" s="26">
        <f>(G25/K25)-1</f>
        <v>0.04016528925619833</v>
      </c>
      <c r="H77" s="27">
        <f>(H25/11597)-1</f>
        <v>0.03380184530482011</v>
      </c>
      <c r="I77" s="27">
        <f>(I25/11094)-1</f>
        <v>0.023886785649900766</v>
      </c>
      <c r="J77" s="28">
        <f>(J25/2892)-1</f>
        <v>3.34820193637621</v>
      </c>
      <c r="K77" s="25">
        <f>(K25/L25)-1</f>
        <v>3.4289897510980962</v>
      </c>
      <c r="L77" s="25">
        <f>(L25/3449)-1</f>
        <v>-0.20788634386778782</v>
      </c>
    </row>
    <row r="78" spans="1:12" ht="11.25">
      <c r="A78" s="2" t="s">
        <v>67</v>
      </c>
      <c r="B78" s="2"/>
      <c r="C78" s="29">
        <f>(C40/G40)-1</f>
        <v>-1.3084967320261438</v>
      </c>
      <c r="D78" s="29">
        <f>(D40/H40)-1</f>
        <v>-1.074248674130819</v>
      </c>
      <c r="E78" s="29">
        <f>(E40/I40)-1</f>
        <v>-1.3120300751879699</v>
      </c>
      <c r="F78" s="29">
        <f>(F40/J40)-1</f>
        <v>-0.2887029288702929</v>
      </c>
      <c r="G78" s="30">
        <f>(G39/K39)-1</f>
        <v>-0.06019656019656017</v>
      </c>
      <c r="H78" s="29">
        <f>(H39/1938)-1</f>
        <v>-0.12435500515995868</v>
      </c>
      <c r="I78" s="29">
        <f>(I39/1439)-1</f>
        <v>-0.26059763724808893</v>
      </c>
      <c r="J78" s="31">
        <f>(J39/1118)-1</f>
        <v>-0.5724508050089445</v>
      </c>
      <c r="K78" s="29">
        <f>(K39/L39)-1</f>
        <v>1.184257602862254</v>
      </c>
      <c r="L78" s="29">
        <f>(L39/2128)-1</f>
        <v>-0.47462406015037595</v>
      </c>
    </row>
  </sheetData>
  <sheetProtection password="CD66" sheet="1" objects="1" scenarios="1"/>
  <mergeCells count="7">
    <mergeCell ref="K8:L8"/>
    <mergeCell ref="C8:F8"/>
    <mergeCell ref="C4:I4"/>
    <mergeCell ref="C3:I3"/>
    <mergeCell ref="C2:I2"/>
    <mergeCell ref="C5:I5"/>
    <mergeCell ref="G8:J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5255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2002-03-19T20:42:43Z</dcterms:created>
  <dcterms:modified xsi:type="dcterms:W3CDTF">2002-07-12T14:08:49Z</dcterms:modified>
  <cp:category/>
  <cp:version/>
  <cp:contentType/>
  <cp:contentStatus/>
</cp:coreProperties>
</file>