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<sst xmlns="http://schemas.openxmlformats.org/spreadsheetml/2006/main" count="84" uniqueCount="68">
  <si>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 18-3</t>
  </si>
  <si>
    <t>BANCO GENERAL</t>
  </si>
  <si>
    <t>ESTADISTICA FINANCIERA. AÑO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</si>
  <si>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</si>
  <si>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</si>
  <si>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</si>
  <si>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</si>
  <si>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</si>
  <si>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</si>
  <si>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</si>
  <si>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</si>
  <si>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</si>
  <si>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</si>
  <si>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</si>
  <si>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</si>
  <si>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</si>
  <si>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</si>
  <si>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</si>
  <si>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</si>
  <si>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</si>
  <si>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</si>
  <si>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</si>
  <si>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</si>
  <si>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</si>
  <si>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</si>
  <si>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</si>
  <si>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</si>
  <si>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</si>
  <si>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</si>
  <si>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</si>
  <si>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</si>
  <si>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</si>
  <si>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</si>
  <si>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</si>
  <si>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</si>
  <si>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</si>
  <si>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</si>
  <si>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</si>
  <si>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</si>
  <si>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</si>
  <si>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</si>
  <si>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Gerenadores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</si>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</sst>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_ * #,##0.0_ ;_ * \-#,##0.0_ ;_ * &quot;-&quot;?_ ;_ @_ 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3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6" xfId="15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" sqref="D2"/>
    </sheetView>
  </sheetViews>
  <sheetFormatPr defaultColWidth="11.421875" defaultRowHeight="12.75"/>
  <cols>
    <col min="1" max="1" width="3.421875" style="1" customWidth="1"/>
    <col min="2" max="2" width="39.28125" style="1" customWidth="1"/>
    <col min="3" max="3" width="9.00390625" style="1" customWidth="1"/>
    <col min="4" max="4" width="10.00390625" style="1" customWidth="1"/>
    <col min="5" max="7" width="9.00390625" style="1" bestFit="1" customWidth="1"/>
    <col min="8" max="8" width="9.8515625" style="1" customWidth="1"/>
    <col min="9" max="11" width="9.00390625" style="1" bestFit="1" customWidth="1"/>
    <col min="12" max="12" width="0.13671875" style="1" hidden="1" customWidth="1"/>
    <col min="13" max="16384" width="11.421875" style="1" customWidth="1"/>
  </cols>
  <sheetData>
    <row r="1" ht="11.25"/>
    <row r="2" spans="2:12" ht="11.25">
      <c r="B2" s="41"/>
      <c r="C2" s="41"/>
      <c r="D2" s="41"/>
      <c r="E2" s="41"/>
      <c r="F2" s="41" t="s">
        <v>0</v>
      </c>
      <c r="H2" s="41"/>
      <c r="I2" s="41"/>
      <c r="J2" s="41"/>
      <c r="K2" s="41"/>
      <c r="L2" s="41"/>
    </row>
    <row r="3" spans="2:12" ht="11.25">
      <c r="B3" s="41"/>
      <c r="C3" s="41"/>
      <c r="D3" s="41"/>
      <c r="E3" s="41"/>
      <c r="F3" s="41" t="s">
        <v>1</v>
      </c>
      <c r="H3" s="41"/>
      <c r="I3" s="41"/>
      <c r="J3" s="41"/>
      <c r="K3" s="41"/>
      <c r="L3" s="41"/>
    </row>
    <row r="4" spans="2:12" ht="11.25">
      <c r="B4" s="41"/>
      <c r="C4" s="41"/>
      <c r="D4" s="41"/>
      <c r="E4" s="41"/>
      <c r="F4" s="41" t="s">
        <v>2</v>
      </c>
      <c r="H4" s="41"/>
      <c r="I4" s="41"/>
      <c r="J4" s="41"/>
      <c r="K4" s="41"/>
      <c r="L4" s="41"/>
    </row>
    <row r="5" spans="2:12" ht="11.25">
      <c r="B5" s="40"/>
      <c r="C5" s="40"/>
      <c r="D5" s="40"/>
      <c r="E5" s="40"/>
      <c r="F5" s="40" t="s">
        <v>3</v>
      </c>
      <c r="H5" s="40"/>
      <c r="I5" s="40"/>
      <c r="J5" s="40"/>
      <c r="K5" s="40"/>
      <c r="L5" s="40"/>
    </row>
    <row r="6" spans="1:12" ht="11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8">
        <v>2001</v>
      </c>
      <c r="D8" s="48"/>
      <c r="E8" s="48"/>
      <c r="F8" s="49"/>
      <c r="G8" s="47">
        <v>2000</v>
      </c>
      <c r="H8" s="48"/>
      <c r="I8" s="48"/>
      <c r="J8" s="49"/>
      <c r="K8" s="47" t="s">
        <v>4</v>
      </c>
      <c r="L8" s="49"/>
    </row>
    <row r="9" spans="1:12" s="4" customFormat="1" ht="11.25">
      <c r="A9" s="42"/>
      <c r="B9" s="42"/>
      <c r="C9" s="42" t="s">
        <v>5</v>
      </c>
      <c r="D9" s="42" t="s">
        <v>6</v>
      </c>
      <c r="E9" s="42" t="s">
        <v>7</v>
      </c>
      <c r="F9" s="42" t="s">
        <v>8</v>
      </c>
      <c r="G9" s="43" t="s">
        <v>5</v>
      </c>
      <c r="H9" s="42" t="s">
        <v>6</v>
      </c>
      <c r="I9" s="42" t="s">
        <v>7</v>
      </c>
      <c r="J9" s="44" t="s">
        <v>8</v>
      </c>
      <c r="K9" s="45" t="s">
        <v>9</v>
      </c>
      <c r="L9" s="46" t="s">
        <v>10</v>
      </c>
    </row>
    <row r="10" spans="1:12" ht="11.25">
      <c r="A10" s="4" t="s">
        <v>11</v>
      </c>
      <c r="B10" s="4"/>
      <c r="C10" s="4"/>
      <c r="D10" s="4"/>
      <c r="E10" s="4"/>
      <c r="F10" s="4"/>
      <c r="G10" s="5"/>
      <c r="H10" s="6"/>
      <c r="I10" s="6"/>
      <c r="J10" s="7"/>
      <c r="K10" s="5"/>
      <c r="L10" s="7"/>
    </row>
    <row r="11" spans="1:12" ht="11.25">
      <c r="A11" s="1" t="s">
        <v>12</v>
      </c>
      <c r="C11" s="8">
        <v>2358976</v>
      </c>
      <c r="D11" s="8">
        <v>2275813</v>
      </c>
      <c r="E11" s="8">
        <v>2261337</v>
      </c>
      <c r="F11" s="8">
        <v>2260007</v>
      </c>
      <c r="G11" s="9">
        <v>2364018</v>
      </c>
      <c r="H11" s="10">
        <v>2273129</v>
      </c>
      <c r="I11" s="10">
        <v>2271737</v>
      </c>
      <c r="J11" s="11">
        <v>1803453</v>
      </c>
      <c r="K11" s="9">
        <v>1830993</v>
      </c>
      <c r="L11" s="11">
        <v>1621431</v>
      </c>
    </row>
    <row r="12" spans="1:12" ht="11.25">
      <c r="A12" s="1" t="s">
        <v>13</v>
      </c>
      <c r="C12" s="8">
        <v>455263</v>
      </c>
      <c r="D12" s="8">
        <v>416980</v>
      </c>
      <c r="E12" s="8">
        <v>427916</v>
      </c>
      <c r="F12" s="8">
        <v>441427</v>
      </c>
      <c r="G12" s="9">
        <v>538822</v>
      </c>
      <c r="H12" s="10">
        <v>424158</v>
      </c>
      <c r="I12" s="10">
        <v>412916</v>
      </c>
      <c r="J12" s="11">
        <v>396466</v>
      </c>
      <c r="K12" s="9">
        <v>456203</v>
      </c>
      <c r="L12" s="11">
        <v>455428</v>
      </c>
    </row>
    <row r="13" spans="1:12" ht="11.25">
      <c r="A13" s="1" t="s">
        <v>14</v>
      </c>
      <c r="C13" s="8">
        <f aca="true" t="shared" si="0" ref="C13:L13">C14+C15</f>
        <v>1345812</v>
      </c>
      <c r="D13" s="8">
        <f t="shared" si="0"/>
        <v>1371099</v>
      </c>
      <c r="E13" s="8">
        <f t="shared" si="0"/>
        <v>1398662</v>
      </c>
      <c r="F13" s="8">
        <f t="shared" si="0"/>
        <v>1414580</v>
      </c>
      <c r="G13" s="9">
        <f t="shared" si="0"/>
        <v>1420025</v>
      </c>
      <c r="H13" s="10">
        <f t="shared" si="0"/>
        <v>1411626</v>
      </c>
      <c r="I13" s="10">
        <f t="shared" si="0"/>
        <v>1382079</v>
      </c>
      <c r="J13" s="11">
        <f t="shared" si="0"/>
        <v>972678</v>
      </c>
      <c r="K13" s="9">
        <f t="shared" si="0"/>
        <v>950990</v>
      </c>
      <c r="L13" s="11">
        <f t="shared" si="0"/>
        <v>885693</v>
      </c>
    </row>
    <row r="14" spans="2:12" ht="11.25">
      <c r="B14" s="1" t="s">
        <v>15</v>
      </c>
      <c r="C14" s="8">
        <v>1325445</v>
      </c>
      <c r="D14" s="8">
        <v>1350374</v>
      </c>
      <c r="E14" s="8">
        <v>1368240</v>
      </c>
      <c r="F14" s="8">
        <v>1383413</v>
      </c>
      <c r="G14" s="9">
        <v>1386395</v>
      </c>
      <c r="H14" s="10">
        <v>1381459</v>
      </c>
      <c r="I14" s="10">
        <v>1356762</v>
      </c>
      <c r="J14" s="11">
        <v>959569</v>
      </c>
      <c r="K14" s="9">
        <v>943176</v>
      </c>
      <c r="L14" s="11">
        <v>885228</v>
      </c>
    </row>
    <row r="15" spans="2:12" ht="11.25">
      <c r="B15" s="1" t="s">
        <v>16</v>
      </c>
      <c r="C15" s="8">
        <v>20367</v>
      </c>
      <c r="D15" s="8">
        <v>20725</v>
      </c>
      <c r="E15" s="8">
        <v>30422</v>
      </c>
      <c r="F15" s="8">
        <v>31167</v>
      </c>
      <c r="G15" s="9">
        <v>33630</v>
      </c>
      <c r="H15" s="10">
        <v>30167</v>
      </c>
      <c r="I15" s="10">
        <v>25317</v>
      </c>
      <c r="J15" s="11">
        <v>13109</v>
      </c>
      <c r="K15" s="9">
        <v>7814</v>
      </c>
      <c r="L15" s="11">
        <v>465</v>
      </c>
    </row>
    <row r="16" spans="1:12" ht="11.25">
      <c r="A16" s="1" t="s">
        <v>17</v>
      </c>
      <c r="C16" s="8">
        <v>469493</v>
      </c>
      <c r="D16" s="8">
        <v>400087</v>
      </c>
      <c r="E16" s="8">
        <v>348022</v>
      </c>
      <c r="F16" s="8">
        <v>304126</v>
      </c>
      <c r="G16" s="9">
        <v>298636</v>
      </c>
      <c r="H16" s="10">
        <v>337032</v>
      </c>
      <c r="I16" s="10">
        <v>368674</v>
      </c>
      <c r="J16" s="11">
        <v>371129</v>
      </c>
      <c r="K16" s="9">
        <v>361268</v>
      </c>
      <c r="L16" s="11">
        <v>221241</v>
      </c>
    </row>
    <row r="17" spans="1:12" ht="11.25">
      <c r="A17" s="1" t="s">
        <v>18</v>
      </c>
      <c r="C17" s="8">
        <f aca="true" t="shared" si="1" ref="C17:L17">C18+C22</f>
        <v>1756130</v>
      </c>
      <c r="D17" s="8">
        <f t="shared" si="1"/>
        <v>1689760</v>
      </c>
      <c r="E17" s="8">
        <f t="shared" si="1"/>
        <v>1657484</v>
      </c>
      <c r="F17" s="8">
        <f t="shared" si="1"/>
        <v>1626779</v>
      </c>
      <c r="G17" s="9">
        <f t="shared" si="1"/>
        <v>1732641</v>
      </c>
      <c r="H17" s="10">
        <f t="shared" si="1"/>
        <v>1666252</v>
      </c>
      <c r="I17" s="10">
        <f t="shared" si="1"/>
        <v>1711686</v>
      </c>
      <c r="J17" s="11">
        <f t="shared" si="1"/>
        <v>1344683</v>
      </c>
      <c r="K17" s="9">
        <f t="shared" si="1"/>
        <v>1369300</v>
      </c>
      <c r="L17" s="11">
        <f t="shared" si="1"/>
        <v>1172095</v>
      </c>
    </row>
    <row r="18" spans="2:12" ht="11.25">
      <c r="B18" s="1" t="s">
        <v>15</v>
      </c>
      <c r="C18" s="8">
        <f aca="true" t="shared" si="2" ref="C18:L18">SUM(C19:C21)</f>
        <v>1648413</v>
      </c>
      <c r="D18" s="8">
        <f t="shared" si="2"/>
        <v>1564302</v>
      </c>
      <c r="E18" s="8">
        <f t="shared" si="2"/>
        <v>1527386</v>
      </c>
      <c r="F18" s="8">
        <f t="shared" si="2"/>
        <v>1497020</v>
      </c>
      <c r="G18" s="9">
        <f t="shared" si="2"/>
        <v>1597507</v>
      </c>
      <c r="H18" s="10">
        <f t="shared" si="2"/>
        <v>1523528</v>
      </c>
      <c r="I18" s="10">
        <f t="shared" si="2"/>
        <v>1551937</v>
      </c>
      <c r="J18" s="11">
        <f t="shared" si="2"/>
        <v>1231029</v>
      </c>
      <c r="K18" s="9">
        <f t="shared" si="2"/>
        <v>1272708</v>
      </c>
      <c r="L18" s="11">
        <f t="shared" si="2"/>
        <v>1087208</v>
      </c>
    </row>
    <row r="19" spans="2:12" ht="11.25">
      <c r="B19" s="1" t="s">
        <v>19</v>
      </c>
      <c r="C19" s="8">
        <v>0</v>
      </c>
      <c r="D19" s="8">
        <v>0</v>
      </c>
      <c r="E19" s="8">
        <v>0</v>
      </c>
      <c r="F19" s="8">
        <v>0</v>
      </c>
      <c r="G19" s="9">
        <v>0</v>
      </c>
      <c r="H19" s="10">
        <v>0</v>
      </c>
      <c r="I19" s="10">
        <v>0</v>
      </c>
      <c r="J19" s="11">
        <v>0</v>
      </c>
      <c r="K19" s="9">
        <v>0</v>
      </c>
      <c r="L19" s="11">
        <v>0</v>
      </c>
    </row>
    <row r="20" spans="2:12" ht="11.25">
      <c r="B20" s="1" t="s">
        <v>20</v>
      </c>
      <c r="C20" s="8">
        <v>1578017</v>
      </c>
      <c r="D20" s="8">
        <v>1502014</v>
      </c>
      <c r="E20" s="8">
        <v>1493876</v>
      </c>
      <c r="F20" s="8">
        <v>1449598</v>
      </c>
      <c r="G20" s="9">
        <v>1459334</v>
      </c>
      <c r="H20" s="10">
        <v>1383776</v>
      </c>
      <c r="I20" s="10">
        <v>1376305</v>
      </c>
      <c r="J20" s="11">
        <v>1073977</v>
      </c>
      <c r="K20" s="9">
        <v>1065908</v>
      </c>
      <c r="L20" s="11">
        <v>981965</v>
      </c>
    </row>
    <row r="21" spans="2:12" ht="11.25">
      <c r="B21" s="1" t="s">
        <v>21</v>
      </c>
      <c r="C21" s="8">
        <v>70396</v>
      </c>
      <c r="D21" s="8">
        <v>62288</v>
      </c>
      <c r="E21" s="8">
        <v>33510</v>
      </c>
      <c r="F21" s="8">
        <v>47422</v>
      </c>
      <c r="G21" s="9">
        <v>138173</v>
      </c>
      <c r="H21" s="10">
        <v>139752</v>
      </c>
      <c r="I21" s="10">
        <v>175632</v>
      </c>
      <c r="J21" s="11">
        <v>157052</v>
      </c>
      <c r="K21" s="9">
        <v>206800</v>
      </c>
      <c r="L21" s="11">
        <v>105243</v>
      </c>
    </row>
    <row r="22" spans="2:12" ht="11.25">
      <c r="B22" s="1" t="s">
        <v>16</v>
      </c>
      <c r="C22" s="8">
        <f>SUM(C23:C24)</f>
        <v>107717</v>
      </c>
      <c r="D22" s="8">
        <f>SUM(D23:D24)</f>
        <v>125458</v>
      </c>
      <c r="E22" s="8">
        <f>SUM(E23:E24)</f>
        <v>130098</v>
      </c>
      <c r="F22" s="8">
        <f aca="true" t="shared" si="3" ref="F22:L22">F23+F24</f>
        <v>129759</v>
      </c>
      <c r="G22" s="9">
        <f t="shared" si="3"/>
        <v>135134</v>
      </c>
      <c r="H22" s="10">
        <f t="shared" si="3"/>
        <v>142724</v>
      </c>
      <c r="I22" s="10">
        <f t="shared" si="3"/>
        <v>159749</v>
      </c>
      <c r="J22" s="11">
        <f t="shared" si="3"/>
        <v>113654</v>
      </c>
      <c r="K22" s="9">
        <f t="shared" si="3"/>
        <v>96592</v>
      </c>
      <c r="L22" s="11">
        <f t="shared" si="3"/>
        <v>84887</v>
      </c>
    </row>
    <row r="23" spans="2:12" ht="11.25">
      <c r="B23" s="1" t="s">
        <v>20</v>
      </c>
      <c r="C23" s="8">
        <v>60711</v>
      </c>
      <c r="D23" s="8">
        <v>61689</v>
      </c>
      <c r="E23" s="8">
        <v>66039</v>
      </c>
      <c r="F23" s="8">
        <v>66503</v>
      </c>
      <c r="G23" s="9">
        <v>62650</v>
      </c>
      <c r="H23" s="10">
        <v>64642</v>
      </c>
      <c r="I23" s="10">
        <v>69466</v>
      </c>
      <c r="J23" s="11">
        <v>25563</v>
      </c>
      <c r="K23" s="9">
        <v>26858</v>
      </c>
      <c r="L23" s="11">
        <v>22482</v>
      </c>
    </row>
    <row r="24" spans="2:12" ht="11.25">
      <c r="B24" s="1" t="s">
        <v>21</v>
      </c>
      <c r="C24" s="8">
        <v>47006</v>
      </c>
      <c r="D24" s="8">
        <v>63769</v>
      </c>
      <c r="E24" s="8">
        <v>64059</v>
      </c>
      <c r="F24" s="8">
        <v>63256</v>
      </c>
      <c r="G24" s="9">
        <v>72484</v>
      </c>
      <c r="H24" s="10">
        <v>78082</v>
      </c>
      <c r="I24" s="10">
        <v>90283</v>
      </c>
      <c r="J24" s="11">
        <v>88091</v>
      </c>
      <c r="K24" s="9">
        <v>69734</v>
      </c>
      <c r="L24" s="11">
        <v>62405</v>
      </c>
    </row>
    <row r="25" spans="1:12" ht="11.25">
      <c r="A25" s="2" t="s">
        <v>22</v>
      </c>
      <c r="B25" s="2"/>
      <c r="C25" s="12">
        <v>270551</v>
      </c>
      <c r="D25" s="12">
        <v>259025</v>
      </c>
      <c r="E25" s="12">
        <v>256352</v>
      </c>
      <c r="F25" s="12">
        <v>254372</v>
      </c>
      <c r="G25" s="13">
        <v>255004</v>
      </c>
      <c r="H25" s="12">
        <v>251221</v>
      </c>
      <c r="I25" s="12">
        <v>244213</v>
      </c>
      <c r="J25" s="14">
        <v>171986</v>
      </c>
      <c r="K25" s="13">
        <v>168415</v>
      </c>
      <c r="L25" s="14">
        <v>143412</v>
      </c>
    </row>
    <row r="26" spans="1:12" ht="11.25">
      <c r="A26" s="4" t="s">
        <v>23</v>
      </c>
      <c r="C26" s="8"/>
      <c r="D26" s="8"/>
      <c r="E26" s="8"/>
      <c r="G26" s="15"/>
      <c r="H26" s="16"/>
      <c r="I26" s="16"/>
      <c r="J26" s="17"/>
      <c r="K26" s="15"/>
      <c r="L26" s="17"/>
    </row>
    <row r="27" spans="1:12" ht="11.25">
      <c r="A27" s="1" t="s">
        <v>12</v>
      </c>
      <c r="C27" s="8">
        <f>(C11+G11)/2</f>
        <v>2361497</v>
      </c>
      <c r="D27" s="8">
        <f>(D11+H11)/2</f>
        <v>2274471</v>
      </c>
      <c r="E27" s="8">
        <f>(E11+I11)/2</f>
        <v>2266537</v>
      </c>
      <c r="F27" s="8">
        <f>+(F11+J11)/2</f>
        <v>2031730</v>
      </c>
      <c r="G27" s="9">
        <f>+(G11+K11)/2</f>
        <v>2097505.5</v>
      </c>
      <c r="H27" s="10">
        <f>+(2273129+1716526)/2</f>
        <v>1994827.5</v>
      </c>
      <c r="I27" s="10">
        <f>+(2271737+1696997)/2</f>
        <v>1984367</v>
      </c>
      <c r="J27" s="11">
        <f>+(1803453+1668182)/2</f>
        <v>1735817.5</v>
      </c>
      <c r="K27" s="9">
        <f>(K11+L11)/2</f>
        <v>1726212</v>
      </c>
      <c r="L27" s="11">
        <f>(L11+1345359)/2</f>
        <v>1483395</v>
      </c>
    </row>
    <row r="28" spans="1:12" ht="11.25">
      <c r="A28" s="1" t="s">
        <v>24</v>
      </c>
      <c r="C28" s="8">
        <f aca="true" t="shared" si="4" ref="C28:L28">C29+C30</f>
        <v>1766983</v>
      </c>
      <c r="D28" s="8">
        <f t="shared" si="4"/>
        <v>1759922</v>
      </c>
      <c r="E28" s="8">
        <f t="shared" si="4"/>
        <v>1748718.5</v>
      </c>
      <c r="F28" s="8">
        <f t="shared" si="4"/>
        <v>1531256.5</v>
      </c>
      <c r="G28" s="9">
        <f t="shared" si="4"/>
        <v>1515459.5</v>
      </c>
      <c r="H28" s="10">
        <f t="shared" si="4"/>
        <v>1504510.5</v>
      </c>
      <c r="I28" s="10">
        <f t="shared" si="4"/>
        <v>1472548.5</v>
      </c>
      <c r="J28" s="11">
        <f t="shared" si="4"/>
        <v>1241826.5</v>
      </c>
      <c r="K28" s="9">
        <f t="shared" si="4"/>
        <v>1209596</v>
      </c>
      <c r="L28" s="11">
        <f t="shared" si="4"/>
        <v>1006801.5</v>
      </c>
    </row>
    <row r="29" spans="2:12" ht="11.25">
      <c r="B29" s="1" t="s">
        <v>14</v>
      </c>
      <c r="C29" s="8">
        <f>(C13+G13)/2</f>
        <v>1382918.5</v>
      </c>
      <c r="D29" s="8">
        <f>(D13+H13)/2</f>
        <v>1391362.5</v>
      </c>
      <c r="E29" s="8">
        <f>(E13+I13)/2</f>
        <v>1390370.5</v>
      </c>
      <c r="F29" s="8">
        <f>+(F13+J13)/2</f>
        <v>1193629</v>
      </c>
      <c r="G29" s="9">
        <f>+(G13+K13)/2</f>
        <v>1185507.5</v>
      </c>
      <c r="H29" s="10">
        <f>+(1411626+941622)/2</f>
        <v>1176624</v>
      </c>
      <c r="I29" s="10">
        <f>+(I13+923530)/2</f>
        <v>1152804.5</v>
      </c>
      <c r="J29" s="11">
        <f>+(J13+918459)/2</f>
        <v>945568.5</v>
      </c>
      <c r="K29" s="9">
        <f>(K13+L13)/2</f>
        <v>918341.5</v>
      </c>
      <c r="L29" s="11">
        <f>(L13+792160)/2</f>
        <v>838926.5</v>
      </c>
    </row>
    <row r="30" spans="2:12" ht="11.25">
      <c r="B30" s="1" t="s">
        <v>17</v>
      </c>
      <c r="C30" s="8">
        <f>(C16+G16)/2</f>
        <v>384064.5</v>
      </c>
      <c r="D30" s="8">
        <f>(D16+H16)/2</f>
        <v>368559.5</v>
      </c>
      <c r="E30" s="8">
        <f>(E16+I16)/2</f>
        <v>358348</v>
      </c>
      <c r="F30" s="8">
        <f>+(F16+J16)/2</f>
        <v>337627.5</v>
      </c>
      <c r="G30" s="9">
        <f>+(G16+K16)/2</f>
        <v>329952</v>
      </c>
      <c r="H30" s="10">
        <f>+(H16+318741)/2</f>
        <v>327886.5</v>
      </c>
      <c r="I30" s="10">
        <f>+(I16+270814)/2</f>
        <v>319744</v>
      </c>
      <c r="J30" s="11">
        <f>+(J16+221387)/2</f>
        <v>296258</v>
      </c>
      <c r="K30" s="9">
        <f>(K16+L16)/2</f>
        <v>291254.5</v>
      </c>
      <c r="L30" s="11">
        <f>(L16+114509)/2</f>
        <v>167875</v>
      </c>
    </row>
    <row r="31" spans="1:12" ht="11.25">
      <c r="A31" s="2" t="s">
        <v>22</v>
      </c>
      <c r="B31" s="2"/>
      <c r="C31" s="12">
        <f>(C25+G25)/2</f>
        <v>262777.5</v>
      </c>
      <c r="D31" s="12">
        <f>(D25+H25)/2</f>
        <v>255123</v>
      </c>
      <c r="E31" s="12">
        <f>(E25+I25)/2</f>
        <v>250282.5</v>
      </c>
      <c r="F31" s="12">
        <f>+(F25+J25)/2</f>
        <v>213179</v>
      </c>
      <c r="G31" s="13">
        <f>+(G25+K25)/2</f>
        <v>211709.5</v>
      </c>
      <c r="H31" s="12">
        <f>+(H25+159360)/2</f>
        <v>205290.5</v>
      </c>
      <c r="I31" s="12">
        <f>+(I25+152176)/2</f>
        <v>198194.5</v>
      </c>
      <c r="J31" s="14">
        <f>+(J25+145488)/2</f>
        <v>158737</v>
      </c>
      <c r="K31" s="13">
        <f>(K25+L25)/2</f>
        <v>155913.5</v>
      </c>
      <c r="L31" s="14">
        <f>(L25+108597)/2</f>
        <v>126004.5</v>
      </c>
    </row>
    <row r="32" spans="1:12" ht="11.25">
      <c r="A32" s="4" t="s">
        <v>25</v>
      </c>
      <c r="C32" s="8"/>
      <c r="D32" s="8"/>
      <c r="E32" s="8"/>
      <c r="G32" s="15"/>
      <c r="H32" s="16"/>
      <c r="I32" s="16"/>
      <c r="J32" s="17"/>
      <c r="K32" s="15"/>
      <c r="L32" s="17"/>
    </row>
    <row r="33" spans="1:12" ht="11.25">
      <c r="A33" s="1" t="s">
        <v>26</v>
      </c>
      <c r="C33" s="8">
        <v>187623</v>
      </c>
      <c r="D33" s="8">
        <v>141765</v>
      </c>
      <c r="E33" s="8">
        <v>96082</v>
      </c>
      <c r="F33" s="8">
        <v>48863</v>
      </c>
      <c r="G33" s="9">
        <v>176446</v>
      </c>
      <c r="H33" s="10">
        <v>125460</v>
      </c>
      <c r="I33" s="10">
        <v>75892</v>
      </c>
      <c r="J33" s="11">
        <v>37622</v>
      </c>
      <c r="K33" s="9">
        <v>140993</v>
      </c>
      <c r="L33" s="11">
        <v>125572</v>
      </c>
    </row>
    <row r="34" spans="1:12" ht="11.25">
      <c r="A34" s="1" t="s">
        <v>27</v>
      </c>
      <c r="C34" s="8">
        <v>128004</v>
      </c>
      <c r="D34" s="8">
        <v>97691</v>
      </c>
      <c r="E34" s="8">
        <v>66320</v>
      </c>
      <c r="F34" s="8">
        <v>33574</v>
      </c>
      <c r="G34" s="9">
        <v>119211</v>
      </c>
      <c r="H34" s="10">
        <v>85188</v>
      </c>
      <c r="I34" s="10">
        <v>51922</v>
      </c>
      <c r="J34" s="11">
        <v>25712</v>
      </c>
      <c r="K34" s="9">
        <v>90069</v>
      </c>
      <c r="L34" s="11">
        <v>82189</v>
      </c>
    </row>
    <row r="35" spans="1:12" ht="11.25">
      <c r="A35" s="1" t="s">
        <v>28</v>
      </c>
      <c r="C35" s="8">
        <f aca="true" t="shared" si="5" ref="C35:L35">C33-C34</f>
        <v>59619</v>
      </c>
      <c r="D35" s="8">
        <f t="shared" si="5"/>
        <v>44074</v>
      </c>
      <c r="E35" s="8">
        <f t="shared" si="5"/>
        <v>29762</v>
      </c>
      <c r="F35" s="8">
        <f t="shared" si="5"/>
        <v>15289</v>
      </c>
      <c r="G35" s="9">
        <f t="shared" si="5"/>
        <v>57235</v>
      </c>
      <c r="H35" s="10">
        <f t="shared" si="5"/>
        <v>40272</v>
      </c>
      <c r="I35" s="10">
        <f t="shared" si="5"/>
        <v>23970</v>
      </c>
      <c r="J35" s="11">
        <f t="shared" si="5"/>
        <v>11910</v>
      </c>
      <c r="K35" s="9">
        <f t="shared" si="5"/>
        <v>50924</v>
      </c>
      <c r="L35" s="11">
        <f t="shared" si="5"/>
        <v>43383</v>
      </c>
    </row>
    <row r="36" spans="1:12" ht="11.25">
      <c r="A36" s="1" t="s">
        <v>29</v>
      </c>
      <c r="C36" s="8">
        <v>24721</v>
      </c>
      <c r="D36" s="8">
        <v>18597</v>
      </c>
      <c r="E36" s="8">
        <v>12928</v>
      </c>
      <c r="F36" s="8">
        <v>6914</v>
      </c>
      <c r="G36" s="9">
        <v>34864</v>
      </c>
      <c r="H36" s="10">
        <v>21965</v>
      </c>
      <c r="I36" s="10">
        <v>12871</v>
      </c>
      <c r="J36" s="11">
        <v>6147</v>
      </c>
      <c r="K36" s="9">
        <v>24576</v>
      </c>
      <c r="L36" s="11">
        <v>22776</v>
      </c>
    </row>
    <row r="37" spans="1:12" ht="11.25">
      <c r="A37" s="1" t="s">
        <v>30</v>
      </c>
      <c r="C37" s="8">
        <f aca="true" t="shared" si="6" ref="C37:L37">C35+C36</f>
        <v>84340</v>
      </c>
      <c r="D37" s="8">
        <f t="shared" si="6"/>
        <v>62671</v>
      </c>
      <c r="E37" s="8">
        <f t="shared" si="6"/>
        <v>42690</v>
      </c>
      <c r="F37" s="8">
        <f t="shared" si="6"/>
        <v>22203</v>
      </c>
      <c r="G37" s="9">
        <f t="shared" si="6"/>
        <v>92099</v>
      </c>
      <c r="H37" s="10">
        <f t="shared" si="6"/>
        <v>62237</v>
      </c>
      <c r="I37" s="10">
        <f t="shared" si="6"/>
        <v>36841</v>
      </c>
      <c r="J37" s="11">
        <f t="shared" si="6"/>
        <v>18057</v>
      </c>
      <c r="K37" s="9">
        <f t="shared" si="6"/>
        <v>75500</v>
      </c>
      <c r="L37" s="11">
        <f t="shared" si="6"/>
        <v>66159</v>
      </c>
    </row>
    <row r="38" spans="1:12" ht="11.25">
      <c r="A38" s="1" t="s">
        <v>31</v>
      </c>
      <c r="C38" s="8">
        <v>47862</v>
      </c>
      <c r="D38" s="8">
        <v>34368</v>
      </c>
      <c r="E38" s="8">
        <v>22667</v>
      </c>
      <c r="F38" s="8">
        <v>11204</v>
      </c>
      <c r="G38" s="9">
        <v>44768</v>
      </c>
      <c r="H38" s="10">
        <v>32214</v>
      </c>
      <c r="I38" s="10">
        <v>19451</v>
      </c>
      <c r="J38" s="11">
        <v>9234</v>
      </c>
      <c r="K38" s="9">
        <v>38030</v>
      </c>
      <c r="L38" s="11">
        <v>34992</v>
      </c>
    </row>
    <row r="39" spans="1:12" ht="11.25">
      <c r="A39" s="1" t="s">
        <v>32</v>
      </c>
      <c r="C39" s="8">
        <f aca="true" t="shared" si="7" ref="C39:L39">C37-C38</f>
        <v>36478</v>
      </c>
      <c r="D39" s="8">
        <f t="shared" si="7"/>
        <v>28303</v>
      </c>
      <c r="E39" s="8">
        <f t="shared" si="7"/>
        <v>20023</v>
      </c>
      <c r="F39" s="8">
        <f t="shared" si="7"/>
        <v>10999</v>
      </c>
      <c r="G39" s="9">
        <f t="shared" si="7"/>
        <v>47331</v>
      </c>
      <c r="H39" s="10">
        <f t="shared" si="7"/>
        <v>30023</v>
      </c>
      <c r="I39" s="10">
        <f t="shared" si="7"/>
        <v>17390</v>
      </c>
      <c r="J39" s="11">
        <f t="shared" si="7"/>
        <v>8823</v>
      </c>
      <c r="K39" s="9">
        <f t="shared" si="7"/>
        <v>37470</v>
      </c>
      <c r="L39" s="11">
        <f t="shared" si="7"/>
        <v>31167</v>
      </c>
    </row>
    <row r="40" spans="1:12" ht="11.25">
      <c r="A40" s="2" t="s">
        <v>33</v>
      </c>
      <c r="B40" s="2"/>
      <c r="C40" s="12">
        <v>20878</v>
      </c>
      <c r="D40" s="12">
        <v>20803</v>
      </c>
      <c r="E40" s="12">
        <v>14622</v>
      </c>
      <c r="F40" s="12">
        <v>8300</v>
      </c>
      <c r="G40" s="13">
        <v>37332</v>
      </c>
      <c r="H40" s="12">
        <v>26421</v>
      </c>
      <c r="I40" s="12">
        <v>15505</v>
      </c>
      <c r="J40" s="14">
        <v>8032</v>
      </c>
      <c r="K40" s="13">
        <v>34051</v>
      </c>
      <c r="L40" s="14">
        <v>26584</v>
      </c>
    </row>
    <row r="41" spans="1:12" ht="11.25">
      <c r="A41" s="4" t="s">
        <v>34</v>
      </c>
      <c r="C41" s="8"/>
      <c r="D41" s="8"/>
      <c r="E41" s="8"/>
      <c r="F41" s="8"/>
      <c r="G41" s="15"/>
      <c r="H41" s="16"/>
      <c r="I41" s="16"/>
      <c r="J41" s="17"/>
      <c r="K41" s="15"/>
      <c r="L41" s="17"/>
    </row>
    <row r="42" spans="1:12" ht="11.25">
      <c r="A42" s="1" t="s">
        <v>35</v>
      </c>
      <c r="C42" s="8">
        <v>31578</v>
      </c>
      <c r="D42" s="8">
        <v>48757</v>
      </c>
      <c r="E42" s="8">
        <v>34511</v>
      </c>
      <c r="F42" s="8">
        <v>35675</v>
      </c>
      <c r="G42" s="9">
        <v>6917</v>
      </c>
      <c r="H42" s="10">
        <v>12477</v>
      </c>
      <c r="I42" s="10">
        <v>8825</v>
      </c>
      <c r="J42" s="11">
        <v>4276</v>
      </c>
      <c r="K42" s="9">
        <v>2026</v>
      </c>
      <c r="L42" s="11">
        <v>3292</v>
      </c>
    </row>
    <row r="43" spans="1:12" ht="11.25">
      <c r="A43" s="1" t="s">
        <v>36</v>
      </c>
      <c r="C43" s="8">
        <v>34766</v>
      </c>
      <c r="D43" s="8">
        <v>26652</v>
      </c>
      <c r="E43" s="8">
        <v>25927</v>
      </c>
      <c r="F43" s="8">
        <v>26277</v>
      </c>
      <c r="G43" s="9">
        <v>24250</v>
      </c>
      <c r="H43" s="10">
        <v>22281</v>
      </c>
      <c r="I43" s="10">
        <v>21897</v>
      </c>
      <c r="J43" s="11">
        <v>18381</v>
      </c>
      <c r="K43" s="9">
        <v>16660</v>
      </c>
      <c r="L43" s="11">
        <v>15000</v>
      </c>
    </row>
    <row r="44" spans="1:12" ht="11.25">
      <c r="A44" s="1" t="s">
        <v>37</v>
      </c>
      <c r="C44" s="18">
        <f aca="true" t="shared" si="8" ref="C44:L44">C42/C13</f>
        <v>0.023463901347290705</v>
      </c>
      <c r="D44" s="18">
        <f t="shared" si="8"/>
        <v>0.03556052480528394</v>
      </c>
      <c r="E44" s="18">
        <f t="shared" si="8"/>
        <v>0.024674295862760265</v>
      </c>
      <c r="F44" s="18">
        <f t="shared" si="8"/>
        <v>0.02521949978085368</v>
      </c>
      <c r="G44" s="19">
        <f t="shared" si="8"/>
        <v>0.0048710410027992465</v>
      </c>
      <c r="H44" s="20">
        <f t="shared" si="8"/>
        <v>0.008838743406539692</v>
      </c>
      <c r="I44" s="20">
        <f t="shared" si="8"/>
        <v>0.006385307931022756</v>
      </c>
      <c r="J44" s="21">
        <f t="shared" si="8"/>
        <v>0.0043961105319540485</v>
      </c>
      <c r="K44" s="19">
        <f t="shared" si="8"/>
        <v>0.002130411465946014</v>
      </c>
      <c r="L44" s="21">
        <f t="shared" si="8"/>
        <v>0.0037168635181716466</v>
      </c>
    </row>
    <row r="45" spans="1:12" ht="11.25">
      <c r="A45" s="1" t="s">
        <v>38</v>
      </c>
      <c r="C45" s="18">
        <f aca="true" t="shared" si="9" ref="C45:L45">C43/C42</f>
        <v>1.100956362024194</v>
      </c>
      <c r="D45" s="18">
        <f t="shared" si="9"/>
        <v>0.546629201960744</v>
      </c>
      <c r="E45" s="18">
        <f t="shared" si="9"/>
        <v>0.7512677117440816</v>
      </c>
      <c r="F45" s="18">
        <f t="shared" si="9"/>
        <v>0.7365662228451296</v>
      </c>
      <c r="G45" s="19">
        <f t="shared" si="9"/>
        <v>3.5058551395113486</v>
      </c>
      <c r="H45" s="20">
        <f t="shared" si="9"/>
        <v>1.7857658090887232</v>
      </c>
      <c r="I45" s="20">
        <f t="shared" si="9"/>
        <v>2.4812464589235126</v>
      </c>
      <c r="J45" s="21">
        <f t="shared" si="9"/>
        <v>4.298643592142189</v>
      </c>
      <c r="K45" s="19">
        <f t="shared" si="9"/>
        <v>8.22309970384995</v>
      </c>
      <c r="L45" s="21">
        <f t="shared" si="9"/>
        <v>4.5565006075334145</v>
      </c>
    </row>
    <row r="46" spans="1:12" ht="11.25">
      <c r="A46" s="2" t="s">
        <v>39</v>
      </c>
      <c r="B46" s="2"/>
      <c r="C46" s="22">
        <f aca="true" t="shared" si="10" ref="C46:L46">C43/C13</f>
        <v>0.02583273146620776</v>
      </c>
      <c r="D46" s="22">
        <f t="shared" si="10"/>
        <v>0.019438421295617604</v>
      </c>
      <c r="E46" s="22">
        <f t="shared" si="10"/>
        <v>0.018537001791712367</v>
      </c>
      <c r="F46" s="22">
        <f t="shared" si="10"/>
        <v>0.01857583169562697</v>
      </c>
      <c r="G46" s="23">
        <f t="shared" si="10"/>
        <v>0.017077164134434254</v>
      </c>
      <c r="H46" s="22">
        <f t="shared" si="10"/>
        <v>0.01578392577070697</v>
      </c>
      <c r="I46" s="22">
        <f t="shared" si="10"/>
        <v>0.015843522692986434</v>
      </c>
      <c r="J46" s="24">
        <f t="shared" si="10"/>
        <v>0.01889731236853306</v>
      </c>
      <c r="K46" s="23">
        <f t="shared" si="10"/>
        <v>0.017518585894699207</v>
      </c>
      <c r="L46" s="24">
        <f t="shared" si="10"/>
        <v>0.01693589087866789</v>
      </c>
    </row>
    <row r="47" spans="1:12" ht="11.25">
      <c r="A47" s="4" t="s">
        <v>40</v>
      </c>
      <c r="G47" s="15"/>
      <c r="H47" s="16"/>
      <c r="I47" s="16"/>
      <c r="J47" s="17"/>
      <c r="K47" s="15"/>
      <c r="L47" s="17"/>
    </row>
    <row r="48" spans="1:12" ht="11.25">
      <c r="A48" s="1" t="s">
        <v>41</v>
      </c>
      <c r="C48" s="18">
        <f aca="true" t="shared" si="11" ref="C48:L48">C25/(C13+C16)</f>
        <v>0.1490388667469103</v>
      </c>
      <c r="D48" s="18">
        <f t="shared" si="11"/>
        <v>0.1462438162903275</v>
      </c>
      <c r="E48" s="18">
        <f t="shared" si="11"/>
        <v>0.14676495576761453</v>
      </c>
      <c r="F48" s="18">
        <f t="shared" si="11"/>
        <v>0.14800204339776551</v>
      </c>
      <c r="G48" s="19">
        <f t="shared" si="11"/>
        <v>0.1483736466935597</v>
      </c>
      <c r="H48" s="20">
        <f t="shared" si="11"/>
        <v>0.14366502769552422</v>
      </c>
      <c r="I48" s="20">
        <f t="shared" si="11"/>
        <v>0.13949026504595452</v>
      </c>
      <c r="J48" s="21">
        <f t="shared" si="11"/>
        <v>0.12798415248618292</v>
      </c>
      <c r="K48" s="19">
        <f t="shared" si="11"/>
        <v>0.12833985390068112</v>
      </c>
      <c r="L48" s="21">
        <f t="shared" si="11"/>
        <v>0.12955785981820053</v>
      </c>
    </row>
    <row r="49" spans="1:12" ht="11.25">
      <c r="A49" s="2" t="s">
        <v>42</v>
      </c>
      <c r="B49" s="2"/>
      <c r="C49" s="22">
        <f aca="true" t="shared" si="12" ref="C49:L49">C25/C13</f>
        <v>0.20103179344514688</v>
      </c>
      <c r="D49" s="22">
        <f t="shared" si="12"/>
        <v>0.18891779514097815</v>
      </c>
      <c r="E49" s="22">
        <f t="shared" si="12"/>
        <v>0.18328373831561878</v>
      </c>
      <c r="F49" s="22">
        <f t="shared" si="12"/>
        <v>0.1798215724808777</v>
      </c>
      <c r="G49" s="23">
        <f t="shared" si="12"/>
        <v>0.17957712012112462</v>
      </c>
      <c r="H49" s="22">
        <f t="shared" si="12"/>
        <v>0.17796569346271604</v>
      </c>
      <c r="I49" s="22">
        <f t="shared" si="12"/>
        <v>0.1766997400293326</v>
      </c>
      <c r="J49" s="24">
        <f t="shared" si="12"/>
        <v>0.17681699390754185</v>
      </c>
      <c r="K49" s="23">
        <f t="shared" si="12"/>
        <v>0.1770943963658924</v>
      </c>
      <c r="L49" s="24">
        <f t="shared" si="12"/>
        <v>0.16192066551276796</v>
      </c>
    </row>
    <row r="50" spans="1:12" ht="11.25">
      <c r="A50" s="4" t="s">
        <v>43</v>
      </c>
      <c r="G50" s="15"/>
      <c r="H50" s="16"/>
      <c r="I50" s="16"/>
      <c r="J50" s="17"/>
      <c r="K50" s="15"/>
      <c r="L50" s="17"/>
    </row>
    <row r="51" spans="1:12" ht="11.25">
      <c r="A51" s="1" t="s">
        <v>44</v>
      </c>
      <c r="C51" s="25">
        <f aca="true" t="shared" si="13" ref="C51:L51">C12/C17</f>
        <v>0.2592421973316326</v>
      </c>
      <c r="D51" s="25">
        <f t="shared" si="13"/>
        <v>0.2467687718966007</v>
      </c>
      <c r="E51" s="25">
        <f t="shared" si="13"/>
        <v>0.25817202458666266</v>
      </c>
      <c r="F51" s="25">
        <f t="shared" si="13"/>
        <v>0.27135031863578274</v>
      </c>
      <c r="G51" s="26">
        <f t="shared" si="13"/>
        <v>0.31098305996452813</v>
      </c>
      <c r="H51" s="27">
        <f t="shared" si="13"/>
        <v>0.25455813406375505</v>
      </c>
      <c r="I51" s="27">
        <f t="shared" si="13"/>
        <v>0.24123349726526944</v>
      </c>
      <c r="J51" s="28">
        <f t="shared" si="13"/>
        <v>0.2948397503352091</v>
      </c>
      <c r="K51" s="26">
        <f t="shared" si="13"/>
        <v>0.33316512086467537</v>
      </c>
      <c r="L51" s="28">
        <f t="shared" si="13"/>
        <v>0.3885589478668538</v>
      </c>
    </row>
    <row r="52" spans="1:12" ht="11.25">
      <c r="A52" s="1" t="s">
        <v>45</v>
      </c>
      <c r="C52" s="25">
        <f aca="true" t="shared" si="14" ref="C52:L52">C12/C11</f>
        <v>0.19299178965788547</v>
      </c>
      <c r="D52" s="25">
        <f t="shared" si="14"/>
        <v>0.18322243523523243</v>
      </c>
      <c r="E52" s="25">
        <f t="shared" si="14"/>
        <v>0.18923141486651482</v>
      </c>
      <c r="F52" s="25">
        <f t="shared" si="14"/>
        <v>0.19532107643914376</v>
      </c>
      <c r="G52" s="26">
        <f t="shared" si="14"/>
        <v>0.2279263525066222</v>
      </c>
      <c r="H52" s="27">
        <f t="shared" si="14"/>
        <v>0.1865965371960852</v>
      </c>
      <c r="I52" s="27">
        <f t="shared" si="14"/>
        <v>0.18176223744209827</v>
      </c>
      <c r="J52" s="28">
        <f t="shared" si="14"/>
        <v>0.21983716792175897</v>
      </c>
      <c r="K52" s="26">
        <f t="shared" si="14"/>
        <v>0.24915605903463311</v>
      </c>
      <c r="L52" s="28">
        <f t="shared" si="14"/>
        <v>0.2808802841440678</v>
      </c>
    </row>
    <row r="53" spans="1:12" ht="11.25">
      <c r="A53" s="2" t="s">
        <v>46</v>
      </c>
      <c r="B53" s="2"/>
      <c r="C53" s="29">
        <f aca="true" t="shared" si="15" ref="C53:L53">(C12+C16)/C17</f>
        <v>0.5265874394264661</v>
      </c>
      <c r="D53" s="29">
        <f t="shared" si="15"/>
        <v>0.48354026607328854</v>
      </c>
      <c r="E53" s="29">
        <f t="shared" si="15"/>
        <v>0.46814207557961346</v>
      </c>
      <c r="F53" s="29">
        <f t="shared" si="15"/>
        <v>0.4583001132913567</v>
      </c>
      <c r="G53" s="30">
        <f t="shared" si="15"/>
        <v>0.4833419040643734</v>
      </c>
      <c r="H53" s="29">
        <f t="shared" si="15"/>
        <v>0.4568276587214899</v>
      </c>
      <c r="I53" s="29">
        <f t="shared" si="15"/>
        <v>0.4566199641756724</v>
      </c>
      <c r="J53" s="31">
        <f t="shared" si="15"/>
        <v>0.5708371415419099</v>
      </c>
      <c r="K53" s="30">
        <f t="shared" si="15"/>
        <v>0.5969991966698313</v>
      </c>
      <c r="L53" s="31">
        <f t="shared" si="15"/>
        <v>0.5773158319078232</v>
      </c>
    </row>
    <row r="54" spans="1:12" ht="11.25">
      <c r="A54" s="4" t="s">
        <v>47</v>
      </c>
      <c r="G54" s="15"/>
      <c r="H54" s="16"/>
      <c r="I54" s="16"/>
      <c r="J54" s="17"/>
      <c r="K54" s="15"/>
      <c r="L54" s="17"/>
    </row>
    <row r="55" spans="1:12" ht="11.25">
      <c r="A55" s="1" t="s">
        <v>48</v>
      </c>
      <c r="B55" s="16"/>
      <c r="C55" s="20">
        <f>(C40)/C28</f>
        <v>0.011815620184234935</v>
      </c>
      <c r="D55" s="18">
        <f>((D40)/0.75)/D28</f>
        <v>0.015760546963634374</v>
      </c>
      <c r="E55" s="18">
        <f>((E40)/0.5)/E28</f>
        <v>0.016723103232452793</v>
      </c>
      <c r="F55" s="18">
        <f>((F40)/0.25)/F28</f>
        <v>0.021681540617133708</v>
      </c>
      <c r="G55" s="19">
        <f>(G40)/G28</f>
        <v>0.024634112623926934</v>
      </c>
      <c r="H55" s="20">
        <f>((H40)/0.75)/H28</f>
        <v>0.02341492465489606</v>
      </c>
      <c r="I55" s="20">
        <f>((I40)/0.5)/I28</f>
        <v>0.021058729135237313</v>
      </c>
      <c r="J55" s="21">
        <f>((J40)/0.25)/J28</f>
        <v>0.02587156901547841</v>
      </c>
      <c r="K55" s="19">
        <f>K40/K28</f>
        <v>0.02815072139788822</v>
      </c>
      <c r="L55" s="21">
        <f>L40/L28</f>
        <v>0.026404410402646402</v>
      </c>
    </row>
    <row r="56" spans="1:12" ht="11.25">
      <c r="A56" s="1" t="s">
        <v>49</v>
      </c>
      <c r="B56" s="16"/>
      <c r="C56" s="20">
        <f>(C40)/C27</f>
        <v>0.008841002127040603</v>
      </c>
      <c r="D56" s="18">
        <f>((D40)/0.75)/D27</f>
        <v>0.012195070121066978</v>
      </c>
      <c r="E56" s="18">
        <f>((E40)/0.5)/E27</f>
        <v>0.012902502804939871</v>
      </c>
      <c r="F56" s="18">
        <f>((F40)/0.25)/F27</f>
        <v>0.016340753938761547</v>
      </c>
      <c r="G56" s="19">
        <f>(G40)/G27</f>
        <v>0.01779828467672671</v>
      </c>
      <c r="H56" s="20">
        <f>((H40)/0.75)/H27</f>
        <v>0.017659672327557146</v>
      </c>
      <c r="I56" s="20">
        <f>((I40)/0.5)/I27</f>
        <v>0.015627149614965377</v>
      </c>
      <c r="J56" s="21">
        <f>((J40)/0.25)/J27</f>
        <v>0.018508858218101845</v>
      </c>
      <c r="K56" s="19">
        <f>K40/K27</f>
        <v>0.019725850590773322</v>
      </c>
      <c r="L56" s="21">
        <f>L40/L27</f>
        <v>0.01792105272028017</v>
      </c>
    </row>
    <row r="57" spans="1:12" ht="11.25">
      <c r="A57" s="1" t="s">
        <v>50</v>
      </c>
      <c r="B57" s="16"/>
      <c r="C57" s="20">
        <f>(C40)/C31</f>
        <v>0.07945124677721646</v>
      </c>
      <c r="D57" s="18">
        <f>((D40)/0.75)/D31</f>
        <v>0.10872141411528295</v>
      </c>
      <c r="E57" s="18">
        <f>((E40)/0.5)/E31</f>
        <v>0.11684396631806059</v>
      </c>
      <c r="F57" s="18">
        <f>((F40)/0.25)/F31</f>
        <v>0.1557376664680855</v>
      </c>
      <c r="G57" s="19">
        <f>(G40)/G31</f>
        <v>0.1763359698076846</v>
      </c>
      <c r="H57" s="20">
        <f>((H40)/0.75)/H31</f>
        <v>0.17160073164613074</v>
      </c>
      <c r="I57" s="20">
        <f>((I40)/0.5)/I31</f>
        <v>0.1564624649019019</v>
      </c>
      <c r="J57" s="21">
        <f>((J40)/0.25)/J31</f>
        <v>0.20239767666013594</v>
      </c>
      <c r="K57" s="19">
        <f>K40/K31</f>
        <v>0.218396739217579</v>
      </c>
      <c r="L57" s="21">
        <f>L40/L31</f>
        <v>0.2109765921058375</v>
      </c>
    </row>
    <row r="58" spans="1:12" ht="11.25">
      <c r="A58" s="1" t="s">
        <v>51</v>
      </c>
      <c r="B58" s="16"/>
      <c r="C58" s="20">
        <f aca="true" t="shared" si="16" ref="C58:L58">(C33)/C28</f>
        <v>0.10618268540217987</v>
      </c>
      <c r="D58" s="20">
        <f t="shared" si="16"/>
        <v>0.08055186536676057</v>
      </c>
      <c r="E58" s="20">
        <f t="shared" si="16"/>
        <v>0.054944234878283725</v>
      </c>
      <c r="F58" s="21">
        <f t="shared" si="16"/>
        <v>0.03191039515587362</v>
      </c>
      <c r="G58" s="20">
        <f t="shared" si="16"/>
        <v>0.11643069313300686</v>
      </c>
      <c r="H58" s="20">
        <f t="shared" si="16"/>
        <v>0.08338924852967128</v>
      </c>
      <c r="I58" s="20">
        <f t="shared" si="16"/>
        <v>0.05153786106196163</v>
      </c>
      <c r="J58" s="21">
        <f t="shared" si="16"/>
        <v>0.03029569750685784</v>
      </c>
      <c r="K58" s="19">
        <f t="shared" si="16"/>
        <v>0.11656205873696672</v>
      </c>
      <c r="L58" s="21">
        <f t="shared" si="16"/>
        <v>0.12472369181015325</v>
      </c>
    </row>
    <row r="59" spans="1:12" ht="11.25">
      <c r="A59" s="1" t="s">
        <v>52</v>
      </c>
      <c r="B59" s="16"/>
      <c r="C59" s="20">
        <f aca="true" t="shared" si="17" ref="C59:L59">(C34)/C28</f>
        <v>0.07244212309909037</v>
      </c>
      <c r="D59" s="20">
        <f t="shared" si="17"/>
        <v>0.05550871004510427</v>
      </c>
      <c r="E59" s="20">
        <f t="shared" si="17"/>
        <v>0.03792491473041545</v>
      </c>
      <c r="F59" s="21">
        <f t="shared" si="17"/>
        <v>0.021925784478302623</v>
      </c>
      <c r="G59" s="20">
        <f t="shared" si="17"/>
        <v>0.0786632701170833</v>
      </c>
      <c r="H59" s="20">
        <f t="shared" si="17"/>
        <v>0.056621738432533375</v>
      </c>
      <c r="I59" s="20">
        <f t="shared" si="17"/>
        <v>0.03525995917961276</v>
      </c>
      <c r="J59" s="21">
        <f t="shared" si="17"/>
        <v>0.02070498576089333</v>
      </c>
      <c r="K59" s="19">
        <f t="shared" si="17"/>
        <v>0.07446205179249932</v>
      </c>
      <c r="L59" s="21">
        <f t="shared" si="17"/>
        <v>0.08163376792744151</v>
      </c>
    </row>
    <row r="60" spans="1:12" ht="11.25">
      <c r="A60" s="1" t="s">
        <v>53</v>
      </c>
      <c r="B60" s="16"/>
      <c r="C60" s="20">
        <f aca="true" t="shared" si="18" ref="C60:L60">(C35)/C28</f>
        <v>0.03374056230308951</v>
      </c>
      <c r="D60" s="20">
        <f t="shared" si="18"/>
        <v>0.0250431553216563</v>
      </c>
      <c r="E60" s="20">
        <f t="shared" si="18"/>
        <v>0.01701932014786828</v>
      </c>
      <c r="F60" s="21">
        <f t="shared" si="18"/>
        <v>0.009984610677571</v>
      </c>
      <c r="G60" s="20">
        <f t="shared" si="18"/>
        <v>0.037767423015923555</v>
      </c>
      <c r="H60" s="20">
        <f t="shared" si="18"/>
        <v>0.026767510097137907</v>
      </c>
      <c r="I60" s="20">
        <f t="shared" si="18"/>
        <v>0.016277901882348865</v>
      </c>
      <c r="J60" s="21">
        <f t="shared" si="18"/>
        <v>0.009590711745964512</v>
      </c>
      <c r="K60" s="19">
        <f t="shared" si="18"/>
        <v>0.04210000694446741</v>
      </c>
      <c r="L60" s="21">
        <f t="shared" si="18"/>
        <v>0.04308992388271174</v>
      </c>
    </row>
    <row r="61" spans="1:12" ht="11.25">
      <c r="A61" s="1" t="s">
        <v>54</v>
      </c>
      <c r="B61" s="16"/>
      <c r="C61" s="20">
        <f>(C38)/(C37)</f>
        <v>0.567488736068295</v>
      </c>
      <c r="D61" s="18">
        <f>(D38/0.75)/(D37/0.75)</f>
        <v>0.5483876114949499</v>
      </c>
      <c r="E61" s="18">
        <f>(E38/0.5)/(E37/0.5)</f>
        <v>0.5309674396814242</v>
      </c>
      <c r="F61" s="18">
        <f>(F38/0.25)/(F37/0.25)</f>
        <v>0.5046164932666757</v>
      </c>
      <c r="G61" s="19">
        <f>(G38)/(G37)</f>
        <v>0.4860856252510885</v>
      </c>
      <c r="H61" s="20">
        <f>((H38)/0.75)/((H37)/0.75)</f>
        <v>0.5176020695084917</v>
      </c>
      <c r="I61" s="20">
        <f>((I38)/0.5)/((I37)/0.5)</f>
        <v>0.5279715534323173</v>
      </c>
      <c r="J61" s="21">
        <f>(J38/0.25)/(J37/0.25)</f>
        <v>0.5113806280112976</v>
      </c>
      <c r="K61" s="19">
        <f>K38/K37</f>
        <v>0.5037086092715232</v>
      </c>
      <c r="L61" s="21">
        <f>L38/L37</f>
        <v>0.5289076316147463</v>
      </c>
    </row>
    <row r="62" spans="1:12" ht="11.25">
      <c r="A62" s="2" t="s">
        <v>55</v>
      </c>
      <c r="B62" s="2"/>
      <c r="C62" s="22">
        <f aca="true" t="shared" si="19" ref="C62:L62">(C36)/C28</f>
        <v>0.0139905137740431</v>
      </c>
      <c r="D62" s="22">
        <f t="shared" si="19"/>
        <v>0.010566945580542775</v>
      </c>
      <c r="E62" s="22">
        <f t="shared" si="19"/>
        <v>0.007392842244191961</v>
      </c>
      <c r="F62" s="24">
        <f t="shared" si="19"/>
        <v>0.004515246139363327</v>
      </c>
      <c r="G62" s="22">
        <f t="shared" si="19"/>
        <v>0.02300556365907502</v>
      </c>
      <c r="H62" s="22">
        <f t="shared" si="19"/>
        <v>0.014599432838787101</v>
      </c>
      <c r="I62" s="22">
        <f t="shared" si="19"/>
        <v>0.008740628916466929</v>
      </c>
      <c r="J62" s="22">
        <f t="shared" si="19"/>
        <v>0.004949966843194278</v>
      </c>
      <c r="K62" s="23">
        <f t="shared" si="19"/>
        <v>0.020317527505051274</v>
      </c>
      <c r="L62" s="32">
        <f t="shared" si="19"/>
        <v>0.02262213554509007</v>
      </c>
    </row>
    <row r="63" spans="1:12" ht="11.25">
      <c r="A63" s="4" t="s">
        <v>56</v>
      </c>
      <c r="B63" s="16"/>
      <c r="G63" s="15"/>
      <c r="H63" s="16"/>
      <c r="I63" s="16"/>
      <c r="J63" s="17"/>
      <c r="K63" s="15"/>
      <c r="L63" s="17"/>
    </row>
    <row r="64" spans="1:12" ht="11.25">
      <c r="A64" s="1" t="s">
        <v>57</v>
      </c>
      <c r="B64" s="16"/>
      <c r="C64" s="8">
        <v>1333</v>
      </c>
      <c r="D64" s="8">
        <v>1326</v>
      </c>
      <c r="E64" s="8">
        <v>1324</v>
      </c>
      <c r="F64" s="8">
        <v>1304</v>
      </c>
      <c r="G64" s="9">
        <v>1281</v>
      </c>
      <c r="H64" s="10">
        <v>1279</v>
      </c>
      <c r="I64" s="10">
        <v>1238</v>
      </c>
      <c r="J64" s="11">
        <v>941</v>
      </c>
      <c r="K64" s="9">
        <v>955</v>
      </c>
      <c r="L64" s="11">
        <v>904</v>
      </c>
    </row>
    <row r="65" spans="1:12" ht="11.25">
      <c r="A65" s="1" t="s">
        <v>58</v>
      </c>
      <c r="B65" s="16"/>
      <c r="C65" s="8">
        <v>34</v>
      </c>
      <c r="D65" s="8">
        <v>36</v>
      </c>
      <c r="E65" s="8">
        <v>36</v>
      </c>
      <c r="F65" s="8">
        <v>36</v>
      </c>
      <c r="G65" s="9">
        <v>36</v>
      </c>
      <c r="H65" s="10">
        <v>36</v>
      </c>
      <c r="I65" s="10">
        <v>34</v>
      </c>
      <c r="J65" s="11">
        <v>26</v>
      </c>
      <c r="K65" s="9">
        <v>26</v>
      </c>
      <c r="L65" s="11">
        <v>21</v>
      </c>
    </row>
    <row r="66" spans="1:12" ht="11.25">
      <c r="A66" s="1" t="s">
        <v>59</v>
      </c>
      <c r="B66" s="16"/>
      <c r="C66" s="33">
        <f aca="true" t="shared" si="20" ref="C66:L66">C13/C64</f>
        <v>1009.6114028507127</v>
      </c>
      <c r="D66" s="33">
        <f t="shared" si="20"/>
        <v>1034.0113122171945</v>
      </c>
      <c r="E66" s="33">
        <f t="shared" si="20"/>
        <v>1056.391238670695</v>
      </c>
      <c r="F66" s="33">
        <f t="shared" si="20"/>
        <v>1084.8006134969326</v>
      </c>
      <c r="G66" s="34">
        <f t="shared" si="20"/>
        <v>1108.528493364559</v>
      </c>
      <c r="H66" s="35">
        <f t="shared" si="20"/>
        <v>1103.6950742767788</v>
      </c>
      <c r="I66" s="35">
        <f t="shared" si="20"/>
        <v>1116.3804523424878</v>
      </c>
      <c r="J66" s="36">
        <f t="shared" si="20"/>
        <v>1033.664187035069</v>
      </c>
      <c r="K66" s="34">
        <f t="shared" si="20"/>
        <v>995.8010471204188</v>
      </c>
      <c r="L66" s="36">
        <f t="shared" si="20"/>
        <v>979.7488938053098</v>
      </c>
    </row>
    <row r="67" spans="1:12" ht="11.25">
      <c r="A67" s="1" t="s">
        <v>60</v>
      </c>
      <c r="B67" s="16"/>
      <c r="C67" s="33">
        <f aca="true" t="shared" si="21" ref="C67:L67">C17/C64</f>
        <v>1317.4268567141785</v>
      </c>
      <c r="D67" s="33">
        <f t="shared" si="21"/>
        <v>1274.3288084464555</v>
      </c>
      <c r="E67" s="33">
        <f t="shared" si="21"/>
        <v>1251.8761329305137</v>
      </c>
      <c r="F67" s="33">
        <f t="shared" si="21"/>
        <v>1247.5299079754602</v>
      </c>
      <c r="G67" s="34">
        <f t="shared" si="21"/>
        <v>1352.5690866510538</v>
      </c>
      <c r="H67" s="35">
        <f t="shared" si="21"/>
        <v>1302.7771696638</v>
      </c>
      <c r="I67" s="35">
        <f t="shared" si="21"/>
        <v>1382.62197092084</v>
      </c>
      <c r="J67" s="36">
        <f t="shared" si="21"/>
        <v>1428.9936238044634</v>
      </c>
      <c r="K67" s="34">
        <f t="shared" si="21"/>
        <v>1433.8219895287957</v>
      </c>
      <c r="L67" s="36">
        <f t="shared" si="21"/>
        <v>1296.5652654867256</v>
      </c>
    </row>
    <row r="68" spans="1:12" ht="11.25">
      <c r="A68" s="2" t="s">
        <v>61</v>
      </c>
      <c r="B68" s="2"/>
      <c r="C68" s="37">
        <f aca="true" t="shared" si="22" ref="C68:L68">C40/C64</f>
        <v>15.662415603900975</v>
      </c>
      <c r="D68" s="37">
        <f t="shared" si="22"/>
        <v>15.688536953242835</v>
      </c>
      <c r="E68" s="37">
        <f t="shared" si="22"/>
        <v>11.04380664652568</v>
      </c>
      <c r="F68" s="37">
        <f t="shared" si="22"/>
        <v>6.365030674846626</v>
      </c>
      <c r="G68" s="38">
        <f t="shared" si="22"/>
        <v>29.142857142857142</v>
      </c>
      <c r="H68" s="37">
        <f t="shared" si="22"/>
        <v>20.657544956997654</v>
      </c>
      <c r="I68" s="37">
        <f t="shared" si="22"/>
        <v>12.524232633279484</v>
      </c>
      <c r="J68" s="39">
        <f t="shared" si="22"/>
        <v>8.535600425079702</v>
      </c>
      <c r="K68" s="38">
        <f t="shared" si="22"/>
        <v>35.65549738219895</v>
      </c>
      <c r="L68" s="39">
        <f t="shared" si="22"/>
        <v>29.4070796460177</v>
      </c>
    </row>
    <row r="69" spans="1:12" ht="11.25">
      <c r="A69" s="4" t="s">
        <v>62</v>
      </c>
      <c r="B69" s="16"/>
      <c r="G69" s="15"/>
      <c r="H69" s="16"/>
      <c r="I69" s="16"/>
      <c r="J69" s="17"/>
      <c r="K69" s="15"/>
      <c r="L69" s="17"/>
    </row>
    <row r="70" spans="1:12" ht="11.25">
      <c r="A70" s="1" t="s">
        <v>63</v>
      </c>
      <c r="B70" s="16"/>
      <c r="C70" s="18">
        <f>(C11-G11)/G11</f>
        <v>-0.0021328094794540483</v>
      </c>
      <c r="D70" s="18">
        <f>(D11-H11)/H11</f>
        <v>0.0011807512904019085</v>
      </c>
      <c r="E70" s="18">
        <f>(E11-I11)/I11</f>
        <v>-0.004577994723861081</v>
      </c>
      <c r="F70" s="18">
        <f>(F11-J11)/J11</f>
        <v>0.25315547452581244</v>
      </c>
      <c r="G70" s="19">
        <f>(G11-K11)/K11</f>
        <v>0.29111252746460525</v>
      </c>
      <c r="H70" s="20">
        <f>(H11-1716526)/1716526</f>
        <v>0.32426132782142536</v>
      </c>
      <c r="I70" s="20">
        <f>(I11-1334899)/1334899</f>
        <v>0.7018044061760478</v>
      </c>
      <c r="J70" s="21">
        <f>(J11-1668182)/1668182</f>
        <v>0.08108887399576305</v>
      </c>
      <c r="K70" s="19">
        <f>(K11-L11)/L11</f>
        <v>0.12924509276065402</v>
      </c>
      <c r="L70" s="21">
        <f>(L11-1345359)/1345359</f>
        <v>0.2052032208503455</v>
      </c>
    </row>
    <row r="71" spans="1:12" ht="11.25">
      <c r="A71" s="1" t="s">
        <v>64</v>
      </c>
      <c r="B71" s="16"/>
      <c r="C71" s="18">
        <f aca="true" t="shared" si="23" ref="C71:G73">(C13-G13)/G13</f>
        <v>-0.052261755955000794</v>
      </c>
      <c r="D71" s="18">
        <f t="shared" si="23"/>
        <v>-0.028709445703040324</v>
      </c>
      <c r="E71" s="18">
        <f t="shared" si="23"/>
        <v>0.011998590529195509</v>
      </c>
      <c r="F71" s="18">
        <f t="shared" si="23"/>
        <v>0.45431478865564967</v>
      </c>
      <c r="G71" s="19">
        <f t="shared" si="23"/>
        <v>0.4932070789387901</v>
      </c>
      <c r="H71" s="20">
        <f>H13/941622-1</f>
        <v>0.49914296819742954</v>
      </c>
      <c r="I71" s="20">
        <f>I13/923530-1</f>
        <v>0.4965177092243891</v>
      </c>
      <c r="J71" s="21">
        <f>J13/918459-1</f>
        <v>0.05903257521566019</v>
      </c>
      <c r="K71" s="19">
        <f>(K13-L13)/L13</f>
        <v>0.07372419111362515</v>
      </c>
      <c r="L71" s="21">
        <f>(L13-792160)/792160</f>
        <v>0.11807336901636033</v>
      </c>
    </row>
    <row r="72" spans="2:12" ht="11.25">
      <c r="B72" s="16" t="s">
        <v>15</v>
      </c>
      <c r="C72" s="18">
        <f t="shared" si="23"/>
        <v>-0.04396293985480328</v>
      </c>
      <c r="D72" s="18">
        <f t="shared" si="23"/>
        <v>-0.022501572612723213</v>
      </c>
      <c r="E72" s="18">
        <f t="shared" si="23"/>
        <v>0.008459847784651987</v>
      </c>
      <c r="F72" s="18">
        <f t="shared" si="23"/>
        <v>0.44170247267262697</v>
      </c>
      <c r="G72" s="19">
        <f t="shared" si="23"/>
        <v>0.46992183855399206</v>
      </c>
      <c r="H72" s="20">
        <f>H14/934009-1</f>
        <v>0.47906390623644945</v>
      </c>
      <c r="I72" s="20">
        <f>I14/922277-1</f>
        <v>0.47110033102853044</v>
      </c>
      <c r="J72" s="21">
        <f>J14/917959-1</f>
        <v>0.04532882187548681</v>
      </c>
      <c r="K72" s="19">
        <f>(K14-L14)/L14</f>
        <v>0.06546110154672016</v>
      </c>
      <c r="L72" s="21">
        <f>(L14-792160)/792160</f>
        <v>0.11748636639062815</v>
      </c>
    </row>
    <row r="73" spans="2:12" ht="11.25">
      <c r="B73" s="16" t="s">
        <v>16</v>
      </c>
      <c r="C73" s="20">
        <f t="shared" si="23"/>
        <v>-0.3943800178412132</v>
      </c>
      <c r="D73" s="18">
        <f t="shared" si="23"/>
        <v>-0.31299101667384893</v>
      </c>
      <c r="E73" s="18">
        <f t="shared" si="23"/>
        <v>0.20164316467195956</v>
      </c>
      <c r="F73" s="18">
        <f t="shared" si="23"/>
        <v>1.3775268899229538</v>
      </c>
      <c r="G73" s="19">
        <f t="shared" si="23"/>
        <v>3.303813667775787</v>
      </c>
      <c r="H73" s="20">
        <f>H15/7613-1</f>
        <v>2.9625640352029423</v>
      </c>
      <c r="I73" s="20">
        <f>I15/1253-1</f>
        <v>19.20510774142059</v>
      </c>
      <c r="J73" s="21">
        <f>J15/500-1</f>
        <v>25.218</v>
      </c>
      <c r="K73" s="19">
        <f>(K15-L15)/L15</f>
        <v>15.804301075268818</v>
      </c>
      <c r="L73" s="21">
        <v>0</v>
      </c>
    </row>
    <row r="74" spans="1:12" ht="11.25">
      <c r="A74" s="1" t="s">
        <v>65</v>
      </c>
      <c r="B74" s="16"/>
      <c r="C74" s="18">
        <f aca="true" t="shared" si="24" ref="C74:G75">(C17-G17)/G17</f>
        <v>0.013556761037052684</v>
      </c>
      <c r="D74" s="18">
        <f t="shared" si="24"/>
        <v>0.014108310147564715</v>
      </c>
      <c r="E74" s="18">
        <f t="shared" si="24"/>
        <v>-0.03166585460183702</v>
      </c>
      <c r="F74" s="18">
        <f t="shared" si="24"/>
        <v>0.2097862470188141</v>
      </c>
      <c r="G74" s="19">
        <f t="shared" si="24"/>
        <v>0.26534798802307746</v>
      </c>
      <c r="H74" s="20">
        <f>H17/1252640-1</f>
        <v>0.3301922340017882</v>
      </c>
      <c r="I74" s="20">
        <f>I17/1234611-1</f>
        <v>0.38641726017344724</v>
      </c>
      <c r="J74" s="21">
        <f>J17/1211890-1</f>
        <v>0.10957512645537126</v>
      </c>
      <c r="K74" s="19">
        <f>(K17-L17)/L17</f>
        <v>0.1682500138640639</v>
      </c>
      <c r="L74" s="21">
        <f>(L17-985738)/985738</f>
        <v>0.18905327784867784</v>
      </c>
    </row>
    <row r="75" spans="2:12" ht="11.25">
      <c r="B75" s="16" t="s">
        <v>15</v>
      </c>
      <c r="C75" s="18">
        <f t="shared" si="24"/>
        <v>0.03186590105708457</v>
      </c>
      <c r="D75" s="18">
        <f t="shared" si="24"/>
        <v>0.026762881942438865</v>
      </c>
      <c r="E75" s="18">
        <f t="shared" si="24"/>
        <v>-0.01581958545997679</v>
      </c>
      <c r="F75" s="18">
        <f t="shared" si="24"/>
        <v>0.21607208278602696</v>
      </c>
      <c r="G75" s="19">
        <f t="shared" si="24"/>
        <v>0.2552030787894788</v>
      </c>
      <c r="H75" s="20">
        <f>H18/1161998-1</f>
        <v>0.3111279021134288</v>
      </c>
      <c r="I75" s="20">
        <f>I18/1143706-1</f>
        <v>0.3569370100357958</v>
      </c>
      <c r="J75" s="21">
        <f>J18/1125039-1</f>
        <v>0.09421006738433069</v>
      </c>
      <c r="K75" s="19">
        <f>(K18-L18)/L18</f>
        <v>0.17062052523528157</v>
      </c>
      <c r="L75" s="21">
        <f>(L18-956394)/956394</f>
        <v>0.1367783570369534</v>
      </c>
    </row>
    <row r="76" spans="2:12" ht="11.25">
      <c r="B76" s="16" t="s">
        <v>16</v>
      </c>
      <c r="C76" s="18">
        <f>(C22-G22)/G22</f>
        <v>-0.20288750425503574</v>
      </c>
      <c r="D76" s="18">
        <f>(D22-H22)/H22</f>
        <v>-0.12097474846556991</v>
      </c>
      <c r="E76" s="18">
        <f>(E22-I22)/I22</f>
        <v>-0.1856099255707391</v>
      </c>
      <c r="F76" s="18">
        <f>(F22-J22)/J22</f>
        <v>0.14170200784838194</v>
      </c>
      <c r="G76" s="19">
        <f>(G22-K22)/K22</f>
        <v>0.3990185522610568</v>
      </c>
      <c r="H76" s="20">
        <f>H22/90642-1</f>
        <v>0.574590145848503</v>
      </c>
      <c r="I76" s="20">
        <f>I22/90906-1</f>
        <v>0.7572987481574374</v>
      </c>
      <c r="J76" s="21">
        <f>J22/86851-1</f>
        <v>0.30860899701788114</v>
      </c>
      <c r="K76" s="19">
        <f>(K22-L22)/L22</f>
        <v>0.1378891938694971</v>
      </c>
      <c r="L76" s="21">
        <f>(L19-29343)/29343</f>
        <v>-1</v>
      </c>
    </row>
    <row r="77" spans="1:12" ht="11.25">
      <c r="A77" s="1" t="s">
        <v>66</v>
      </c>
      <c r="B77" s="16"/>
      <c r="C77" s="18">
        <f>C25/G25-1</f>
        <v>0.06096767109535528</v>
      </c>
      <c r="D77" s="18">
        <f>D25/H25-1</f>
        <v>0.031064282046485037</v>
      </c>
      <c r="E77" s="18">
        <f>E25/I25-1</f>
        <v>0.04970660857530107</v>
      </c>
      <c r="F77" s="18">
        <f>(F25-J25)/J25</f>
        <v>0.47902736269231216</v>
      </c>
      <c r="G77" s="19">
        <f>(G25-K25)/K25</f>
        <v>0.514140664430128</v>
      </c>
      <c r="H77" s="20">
        <f>(H25-159360)/159360</f>
        <v>0.5764369979919679</v>
      </c>
      <c r="I77" s="20">
        <f>(I25-152176)/152176</f>
        <v>0.6048062769424877</v>
      </c>
      <c r="J77" s="21">
        <f>(J25-145487)/145487</f>
        <v>0.18213998501584333</v>
      </c>
      <c r="K77" s="19">
        <f>(K25-L25)/L25</f>
        <v>0.1743438484924553</v>
      </c>
      <c r="L77" s="21">
        <f>(L25-108597)/108597</f>
        <v>0.3205889665460372</v>
      </c>
    </row>
    <row r="78" spans="1:12" ht="11.25">
      <c r="A78" s="2" t="s">
        <v>67</v>
      </c>
      <c r="B78" s="2"/>
      <c r="C78" s="22">
        <f>(C40-G40)/G40</f>
        <v>-0.44074788385299474</v>
      </c>
      <c r="D78" s="22">
        <f>(D40-H40)/H40</f>
        <v>-0.21263388970894365</v>
      </c>
      <c r="E78" s="22">
        <f>(E40-I40)/I40</f>
        <v>-0.05694937117059013</v>
      </c>
      <c r="F78" s="22">
        <f>F40/J40-1</f>
        <v>0.033366533864541914</v>
      </c>
      <c r="G78" s="23">
        <f>G40/K40-1</f>
        <v>0.09635546679980034</v>
      </c>
      <c r="H78" s="22">
        <f>H40/21968-1</f>
        <v>0.20270393299344502</v>
      </c>
      <c r="I78" s="22">
        <f>I40/14284-1</f>
        <v>0.08548025763091571</v>
      </c>
      <c r="J78" s="24">
        <f>J40/6969-1</f>
        <v>0.15253264456880467</v>
      </c>
      <c r="K78" s="23">
        <f>(K40-L40)/L40</f>
        <v>0.28088323803791754</v>
      </c>
      <c r="L78" s="24">
        <f>(L40-18750)/18750</f>
        <v>0.4178133333333333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6760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2002-07-11T18:43:34Z</cp:lastPrinted>
  <dcterms:created xsi:type="dcterms:W3CDTF">2002-03-19T15:01:04Z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