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Nova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<sst xmlns="http://schemas.openxmlformats.org/spreadsheetml/2006/main" count="84" uniqueCount="68">
  <si>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18-39</t>
  </si>
  <si>
    <t>THE BANK OF NOVA SCOTIA</t>
  </si>
  <si>
    <t>ESTADISTICA FINANCIERA. AÑO 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</si>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</sst>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0.0%"/>
    <numFmt numFmtId="192" formatCode="_(* #,##0.0000_);_(* \(#,##0.0000\);_(* &quot;-&quot;??_);_(@_)"/>
    <numFmt numFmtId="193" formatCode="0.00000"/>
    <numFmt numFmtId="194" formatCode="0.0000"/>
    <numFmt numFmtId="195" formatCode="0.000"/>
    <numFmt numFmtId="196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89" fontId="1" fillId="0" borderId="0" xfId="15" applyNumberFormat="1" applyFont="1" applyAlignment="1">
      <alignment/>
    </xf>
    <xf numFmtId="189" fontId="1" fillId="0" borderId="6" xfId="15" applyNumberFormat="1" applyFont="1" applyBorder="1" applyAlignment="1">
      <alignment/>
    </xf>
    <xf numFmtId="189" fontId="1" fillId="0" borderId="0" xfId="15" applyNumberFormat="1" applyFont="1" applyBorder="1" applyAlignment="1">
      <alignment/>
    </xf>
    <xf numFmtId="189" fontId="1" fillId="0" borderId="7" xfId="15" applyNumberFormat="1" applyFont="1" applyBorder="1" applyAlignment="1">
      <alignment/>
    </xf>
    <xf numFmtId="189" fontId="2" fillId="0" borderId="0" xfId="15" applyNumberFormat="1" applyFont="1" applyAlignment="1">
      <alignment/>
    </xf>
    <xf numFmtId="189" fontId="2" fillId="0" borderId="6" xfId="15" applyNumberFormat="1" applyFont="1" applyBorder="1" applyAlignment="1">
      <alignment/>
    </xf>
    <xf numFmtId="189" fontId="2" fillId="0" borderId="0" xfId="15" applyNumberFormat="1" applyFont="1" applyBorder="1" applyAlignment="1">
      <alignment/>
    </xf>
    <xf numFmtId="189" fontId="2" fillId="0" borderId="7" xfId="15" applyNumberFormat="1" applyFont="1" applyBorder="1" applyAlignment="1">
      <alignment/>
    </xf>
    <xf numFmtId="189" fontId="2" fillId="0" borderId="1" xfId="15" applyNumberFormat="1" applyFont="1" applyBorder="1" applyAlignment="1">
      <alignment/>
    </xf>
    <xf numFmtId="189" fontId="2" fillId="0" borderId="4" xfId="15" applyNumberFormat="1" applyFont="1" applyBorder="1" applyAlignment="1">
      <alignment/>
    </xf>
    <xf numFmtId="189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89" fontId="2" fillId="0" borderId="0" xfId="0" applyNumberFormat="1" applyFont="1" applyAlignment="1">
      <alignment/>
    </xf>
    <xf numFmtId="189" fontId="2" fillId="0" borderId="1" xfId="0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91" fontId="2" fillId="0" borderId="0" xfId="19" applyNumberFormat="1" applyFont="1" applyAlignment="1">
      <alignment/>
    </xf>
    <xf numFmtId="191" fontId="2" fillId="0" borderId="6" xfId="19" applyNumberFormat="1" applyFont="1" applyBorder="1" applyAlignment="1">
      <alignment/>
    </xf>
    <xf numFmtId="191" fontId="2" fillId="0" borderId="0" xfId="19" applyNumberFormat="1" applyFont="1" applyBorder="1" applyAlignment="1">
      <alignment/>
    </xf>
    <xf numFmtId="191" fontId="2" fillId="0" borderId="7" xfId="19" applyNumberFormat="1" applyFont="1" applyBorder="1" applyAlignment="1">
      <alignment/>
    </xf>
    <xf numFmtId="191" fontId="2" fillId="0" borderId="1" xfId="19" applyNumberFormat="1" applyFont="1" applyBorder="1" applyAlignment="1">
      <alignment/>
    </xf>
    <xf numFmtId="191" fontId="2" fillId="0" borderId="4" xfId="19" applyNumberFormat="1" applyFont="1" applyBorder="1" applyAlignment="1">
      <alignment/>
    </xf>
    <xf numFmtId="191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:I5"/>
    </sheetView>
  </sheetViews>
  <sheetFormatPr defaultColWidth="11.421875" defaultRowHeight="12.75"/>
  <cols>
    <col min="1" max="1" width="3.57421875" style="1" customWidth="1"/>
    <col min="2" max="2" width="39.140625" style="1" customWidth="1"/>
    <col min="3" max="3" width="7.7109375" style="1" bestFit="1" customWidth="1"/>
    <col min="4" max="4" width="8.7109375" style="1" bestFit="1" customWidth="1"/>
    <col min="5" max="7" width="7.7109375" style="1" bestFit="1" customWidth="1"/>
    <col min="8" max="8" width="8.7109375" style="1" bestFit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2.75" customHeight="1">
      <c r="B2" s="45"/>
      <c r="C2" s="46" t="s">
        <v>0</v>
      </c>
      <c r="D2" s="46"/>
      <c r="E2" s="46"/>
      <c r="F2" s="46"/>
      <c r="G2" s="46"/>
      <c r="H2" s="46"/>
      <c r="I2" s="46"/>
      <c r="J2" s="45"/>
      <c r="K2" s="45"/>
      <c r="L2" s="45"/>
    </row>
    <row r="3" spans="2:12" ht="12.75" customHeight="1">
      <c r="B3" s="45"/>
      <c r="C3" s="46" t="s">
        <v>1</v>
      </c>
      <c r="D3" s="46"/>
      <c r="E3" s="46"/>
      <c r="F3" s="46"/>
      <c r="G3" s="46"/>
      <c r="H3" s="46"/>
      <c r="I3" s="46"/>
      <c r="J3" s="45"/>
      <c r="K3" s="45"/>
      <c r="L3" s="45"/>
    </row>
    <row r="4" spans="2:12" ht="12.75" customHeight="1">
      <c r="B4" s="45"/>
      <c r="C4" s="46" t="s">
        <v>2</v>
      </c>
      <c r="D4" s="46"/>
      <c r="E4" s="46"/>
      <c r="F4" s="46"/>
      <c r="G4" s="46"/>
      <c r="H4" s="46"/>
      <c r="I4" s="46"/>
      <c r="J4" s="45"/>
      <c r="K4" s="45"/>
      <c r="L4" s="45"/>
    </row>
    <row r="5" spans="2:12" ht="12.75" customHeight="1">
      <c r="B5" s="44"/>
      <c r="C5" s="47" t="s">
        <v>3</v>
      </c>
      <c r="D5" s="47"/>
      <c r="E5" s="47"/>
      <c r="F5" s="47"/>
      <c r="G5" s="47"/>
      <c r="H5" s="47"/>
      <c r="I5" s="47"/>
      <c r="J5" s="44"/>
      <c r="K5" s="44"/>
      <c r="L5" s="44"/>
    </row>
    <row r="6" spans="1:12" ht="11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9">
        <v>2001</v>
      </c>
      <c r="D8" s="49"/>
      <c r="E8" s="49"/>
      <c r="F8" s="50"/>
      <c r="G8" s="48">
        <v>2000</v>
      </c>
      <c r="H8" s="49"/>
      <c r="I8" s="49"/>
      <c r="J8" s="50"/>
      <c r="K8" s="49" t="s">
        <v>4</v>
      </c>
      <c r="L8" s="49"/>
    </row>
    <row r="9" spans="1:12" ht="11.25">
      <c r="A9" s="4"/>
      <c r="B9" s="4"/>
      <c r="C9" s="5" t="s">
        <v>5</v>
      </c>
      <c r="D9" s="4" t="s">
        <v>6</v>
      </c>
      <c r="E9" s="4" t="s">
        <v>7</v>
      </c>
      <c r="F9" s="4" t="s">
        <v>8</v>
      </c>
      <c r="G9" s="6" t="s">
        <v>5</v>
      </c>
      <c r="H9" s="4" t="s">
        <v>6</v>
      </c>
      <c r="I9" s="4" t="s">
        <v>7</v>
      </c>
      <c r="J9" s="7" t="s">
        <v>8</v>
      </c>
      <c r="K9" s="8" t="s">
        <v>9</v>
      </c>
      <c r="L9" s="8" t="s">
        <v>10</v>
      </c>
    </row>
    <row r="10" spans="1:12" ht="11.25">
      <c r="A10" s="9" t="s">
        <v>11</v>
      </c>
      <c r="B10" s="9"/>
      <c r="C10" s="9"/>
      <c r="D10" s="9"/>
      <c r="E10" s="9"/>
      <c r="F10" s="10"/>
      <c r="G10" s="11"/>
      <c r="H10" s="12"/>
      <c r="I10" s="12"/>
      <c r="J10" s="13"/>
      <c r="K10" s="10"/>
      <c r="L10" s="10"/>
    </row>
    <row r="11" spans="1:12" ht="11.25">
      <c r="A11" s="1" t="s">
        <v>12</v>
      </c>
      <c r="C11" s="14">
        <v>486783</v>
      </c>
      <c r="D11" s="14">
        <v>460025</v>
      </c>
      <c r="E11" s="14">
        <v>422109</v>
      </c>
      <c r="F11" s="14">
        <v>381130</v>
      </c>
      <c r="G11" s="15">
        <v>371148</v>
      </c>
      <c r="H11" s="16">
        <v>337421</v>
      </c>
      <c r="I11" s="16">
        <v>319044</v>
      </c>
      <c r="J11" s="17">
        <v>321663</v>
      </c>
      <c r="K11" s="14">
        <v>313276</v>
      </c>
      <c r="L11" s="14">
        <v>262371</v>
      </c>
    </row>
    <row r="12" spans="1:12" ht="11.25">
      <c r="A12" s="1" t="s">
        <v>13</v>
      </c>
      <c r="C12" s="14">
        <v>19781</v>
      </c>
      <c r="D12" s="14">
        <v>19564</v>
      </c>
      <c r="E12" s="14">
        <v>24828</v>
      </c>
      <c r="F12" s="14">
        <v>18594</v>
      </c>
      <c r="G12" s="15">
        <v>24154</v>
      </c>
      <c r="H12" s="16">
        <v>17993</v>
      </c>
      <c r="I12" s="16">
        <v>20161</v>
      </c>
      <c r="J12" s="17">
        <v>17310</v>
      </c>
      <c r="K12" s="14">
        <v>28949</v>
      </c>
      <c r="L12" s="14">
        <v>26143</v>
      </c>
    </row>
    <row r="13" spans="1:12" ht="11.25">
      <c r="A13" s="1" t="s">
        <v>14</v>
      </c>
      <c r="C13" s="14">
        <f aca="true" t="shared" si="0" ref="C13:L13">C14+C15</f>
        <v>388627</v>
      </c>
      <c r="D13" s="14">
        <f t="shared" si="0"/>
        <v>373604</v>
      </c>
      <c r="E13" s="14">
        <f t="shared" si="0"/>
        <v>339875</v>
      </c>
      <c r="F13" s="14">
        <f t="shared" si="0"/>
        <v>319668</v>
      </c>
      <c r="G13" s="15">
        <f t="shared" si="0"/>
        <v>304966</v>
      </c>
      <c r="H13" s="16">
        <f t="shared" si="0"/>
        <v>280879</v>
      </c>
      <c r="I13" s="16">
        <f t="shared" si="0"/>
        <v>260120</v>
      </c>
      <c r="J13" s="17">
        <f t="shared" si="0"/>
        <v>268470</v>
      </c>
      <c r="K13" s="14">
        <f t="shared" si="0"/>
        <v>248375</v>
      </c>
      <c r="L13" s="14">
        <f t="shared" si="0"/>
        <v>211811</v>
      </c>
    </row>
    <row r="14" spans="2:12" ht="11.25">
      <c r="B14" s="1" t="s">
        <v>15</v>
      </c>
      <c r="C14" s="14">
        <v>318413</v>
      </c>
      <c r="D14" s="14">
        <v>310743</v>
      </c>
      <c r="E14" s="14">
        <v>292256</v>
      </c>
      <c r="F14" s="14">
        <v>265630</v>
      </c>
      <c r="G14" s="15">
        <v>247162</v>
      </c>
      <c r="H14" s="16">
        <v>250196</v>
      </c>
      <c r="I14" s="16">
        <v>227417</v>
      </c>
      <c r="J14" s="17">
        <v>227329</v>
      </c>
      <c r="K14" s="14">
        <v>208668</v>
      </c>
      <c r="L14" s="14">
        <v>172974</v>
      </c>
    </row>
    <row r="15" spans="2:12" ht="11.25">
      <c r="B15" s="1" t="s">
        <v>16</v>
      </c>
      <c r="C15" s="14">
        <v>70214</v>
      </c>
      <c r="D15" s="14">
        <v>62861</v>
      </c>
      <c r="E15" s="14">
        <v>47619</v>
      </c>
      <c r="F15" s="14">
        <v>54038</v>
      </c>
      <c r="G15" s="15">
        <v>57804</v>
      </c>
      <c r="H15" s="16">
        <v>30683</v>
      </c>
      <c r="I15" s="16">
        <v>32703</v>
      </c>
      <c r="J15" s="17">
        <v>41141</v>
      </c>
      <c r="K15" s="14">
        <v>39707</v>
      </c>
      <c r="L15" s="14">
        <v>38837</v>
      </c>
    </row>
    <row r="16" spans="1:12" ht="11.25">
      <c r="A16" s="1" t="s">
        <v>17</v>
      </c>
      <c r="C16" s="14">
        <v>69551</v>
      </c>
      <c r="D16" s="14">
        <v>58674</v>
      </c>
      <c r="E16" s="14">
        <v>50950</v>
      </c>
      <c r="F16" s="14">
        <v>36325</v>
      </c>
      <c r="G16" s="15">
        <v>36486</v>
      </c>
      <c r="H16" s="16">
        <v>33159</v>
      </c>
      <c r="I16" s="16">
        <v>33194</v>
      </c>
      <c r="J16" s="17">
        <v>31230</v>
      </c>
      <c r="K16" s="14">
        <v>31265</v>
      </c>
      <c r="L16" s="14">
        <v>19784</v>
      </c>
    </row>
    <row r="17" spans="1:12" ht="11.25">
      <c r="A17" s="1" t="s">
        <v>18</v>
      </c>
      <c r="C17" s="14">
        <f aca="true" t="shared" si="1" ref="C17:L17">C18+C22</f>
        <v>400871</v>
      </c>
      <c r="D17" s="14">
        <f t="shared" si="1"/>
        <v>366922</v>
      </c>
      <c r="E17" s="14">
        <f t="shared" si="1"/>
        <v>330170</v>
      </c>
      <c r="F17" s="14">
        <f t="shared" si="1"/>
        <v>306631</v>
      </c>
      <c r="G17" s="15">
        <f t="shared" si="1"/>
        <v>295159</v>
      </c>
      <c r="H17" s="16">
        <f t="shared" si="1"/>
        <v>268410</v>
      </c>
      <c r="I17" s="16">
        <f t="shared" si="1"/>
        <v>251861</v>
      </c>
      <c r="J17" s="17">
        <f t="shared" si="1"/>
        <v>257722</v>
      </c>
      <c r="K17" s="14">
        <f t="shared" si="1"/>
        <v>244876</v>
      </c>
      <c r="L17" s="14">
        <f t="shared" si="1"/>
        <v>200053</v>
      </c>
    </row>
    <row r="18" spans="2:12" ht="11.25">
      <c r="B18" s="1" t="s">
        <v>15</v>
      </c>
      <c r="C18" s="14">
        <f aca="true" t="shared" si="2" ref="C18:L18">SUM(C19:C21)</f>
        <v>34844</v>
      </c>
      <c r="D18" s="14">
        <f t="shared" si="2"/>
        <v>30394</v>
      </c>
      <c r="E18" s="14">
        <f t="shared" si="2"/>
        <v>29801</v>
      </c>
      <c r="F18" s="14">
        <f t="shared" si="2"/>
        <v>23601</v>
      </c>
      <c r="G18" s="15">
        <f t="shared" si="2"/>
        <v>26205</v>
      </c>
      <c r="H18" s="16">
        <f t="shared" si="2"/>
        <v>26249</v>
      </c>
      <c r="I18" s="16">
        <f t="shared" si="2"/>
        <v>17869</v>
      </c>
      <c r="J18" s="17">
        <f t="shared" si="2"/>
        <v>18998</v>
      </c>
      <c r="K18" s="14">
        <f t="shared" si="2"/>
        <v>21400</v>
      </c>
      <c r="L18" s="14">
        <f t="shared" si="2"/>
        <v>20384</v>
      </c>
    </row>
    <row r="19" spans="2:12" ht="11.25">
      <c r="B19" s="1" t="s">
        <v>19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>
        <v>0</v>
      </c>
      <c r="I19" s="16">
        <v>0</v>
      </c>
      <c r="J19" s="17">
        <v>0</v>
      </c>
      <c r="K19" s="14">
        <v>0</v>
      </c>
      <c r="L19" s="14">
        <v>0</v>
      </c>
    </row>
    <row r="20" spans="2:12" ht="11.25">
      <c r="B20" s="1" t="s">
        <v>20</v>
      </c>
      <c r="C20" s="14">
        <f>7642+27184</f>
        <v>34826</v>
      </c>
      <c r="D20" s="14">
        <v>30355</v>
      </c>
      <c r="E20" s="14">
        <v>29762</v>
      </c>
      <c r="F20" s="14">
        <v>23560</v>
      </c>
      <c r="G20" s="15">
        <v>26164</v>
      </c>
      <c r="H20" s="16">
        <v>26213</v>
      </c>
      <c r="I20" s="16">
        <v>17831</v>
      </c>
      <c r="J20" s="17">
        <v>18959</v>
      </c>
      <c r="K20" s="14">
        <v>21350</v>
      </c>
      <c r="L20" s="14">
        <v>20367</v>
      </c>
    </row>
    <row r="21" spans="2:12" ht="11.25">
      <c r="B21" s="1" t="s">
        <v>21</v>
      </c>
      <c r="C21" s="14">
        <v>18</v>
      </c>
      <c r="D21" s="14">
        <v>39</v>
      </c>
      <c r="E21" s="14">
        <v>39</v>
      </c>
      <c r="F21" s="14">
        <v>41</v>
      </c>
      <c r="G21" s="15">
        <v>41</v>
      </c>
      <c r="H21" s="16">
        <v>36</v>
      </c>
      <c r="I21" s="16">
        <v>38</v>
      </c>
      <c r="J21" s="17">
        <v>39</v>
      </c>
      <c r="K21" s="14">
        <v>50</v>
      </c>
      <c r="L21" s="14">
        <v>17</v>
      </c>
    </row>
    <row r="22" spans="2:12" ht="11.25">
      <c r="B22" s="1" t="s">
        <v>16</v>
      </c>
      <c r="C22" s="14">
        <f aca="true" t="shared" si="3" ref="C22:L22">SUM(C23:C24)</f>
        <v>366027</v>
      </c>
      <c r="D22" s="14">
        <f t="shared" si="3"/>
        <v>336528</v>
      </c>
      <c r="E22" s="14">
        <f t="shared" si="3"/>
        <v>300369</v>
      </c>
      <c r="F22" s="14">
        <f t="shared" si="3"/>
        <v>283030</v>
      </c>
      <c r="G22" s="15">
        <f t="shared" si="3"/>
        <v>268954</v>
      </c>
      <c r="H22" s="16">
        <f t="shared" si="3"/>
        <v>242161</v>
      </c>
      <c r="I22" s="16">
        <f t="shared" si="3"/>
        <v>233992</v>
      </c>
      <c r="J22" s="17">
        <f t="shared" si="3"/>
        <v>238724</v>
      </c>
      <c r="K22" s="14">
        <f t="shared" si="3"/>
        <v>223476</v>
      </c>
      <c r="L22" s="14">
        <f t="shared" si="3"/>
        <v>179669</v>
      </c>
    </row>
    <row r="23" spans="2:12" ht="11.25">
      <c r="B23" s="1" t="s">
        <v>20</v>
      </c>
      <c r="C23" s="14">
        <f>638+7023</f>
        <v>7661</v>
      </c>
      <c r="D23" s="14">
        <v>8436</v>
      </c>
      <c r="E23" s="14">
        <v>5756</v>
      </c>
      <c r="F23" s="14">
        <v>6251</v>
      </c>
      <c r="G23" s="15">
        <v>6821</v>
      </c>
      <c r="H23" s="16">
        <v>5483</v>
      </c>
      <c r="I23" s="16">
        <v>5455</v>
      </c>
      <c r="J23" s="17">
        <v>4470</v>
      </c>
      <c r="K23" s="14">
        <v>4260</v>
      </c>
      <c r="L23" s="14">
        <v>4746</v>
      </c>
    </row>
    <row r="24" spans="2:12" ht="11.25">
      <c r="B24" s="1" t="s">
        <v>21</v>
      </c>
      <c r="C24" s="14">
        <f>1+358365</f>
        <v>358366</v>
      </c>
      <c r="D24" s="14">
        <v>328092</v>
      </c>
      <c r="E24" s="14">
        <v>294613</v>
      </c>
      <c r="F24" s="14">
        <v>276779</v>
      </c>
      <c r="G24" s="15">
        <v>262133</v>
      </c>
      <c r="H24" s="16">
        <v>236678</v>
      </c>
      <c r="I24" s="16">
        <v>228537</v>
      </c>
      <c r="J24" s="17">
        <v>234254</v>
      </c>
      <c r="K24" s="14">
        <v>219216</v>
      </c>
      <c r="L24" s="14">
        <v>174923</v>
      </c>
    </row>
    <row r="25" spans="1:12" ht="11.25">
      <c r="A25" s="2" t="s">
        <v>22</v>
      </c>
      <c r="B25" s="2"/>
      <c r="C25" s="18">
        <v>10000</v>
      </c>
      <c r="D25" s="18">
        <v>10000</v>
      </c>
      <c r="E25" s="18">
        <v>10000</v>
      </c>
      <c r="F25" s="18">
        <v>10000</v>
      </c>
      <c r="G25" s="19">
        <v>10000</v>
      </c>
      <c r="H25" s="18">
        <v>10000</v>
      </c>
      <c r="I25" s="18">
        <v>10000</v>
      </c>
      <c r="J25" s="20">
        <v>10000</v>
      </c>
      <c r="K25" s="18">
        <v>10000</v>
      </c>
      <c r="L25" s="18">
        <v>10000</v>
      </c>
    </row>
    <row r="26" spans="1:12" ht="11.25">
      <c r="A26" s="9" t="s">
        <v>23</v>
      </c>
      <c r="D26" s="14"/>
      <c r="F26" s="14"/>
      <c r="G26" s="15"/>
      <c r="H26" s="16"/>
      <c r="I26" s="16"/>
      <c r="J26" s="17"/>
      <c r="K26" s="14"/>
      <c r="L26" s="14"/>
    </row>
    <row r="27" spans="1:12" ht="11.25">
      <c r="A27" s="1" t="s">
        <v>12</v>
      </c>
      <c r="C27" s="14">
        <f>(C11+G11)/2</f>
        <v>428965.5</v>
      </c>
      <c r="D27" s="14">
        <f>(D11+H11)/2</f>
        <v>398723</v>
      </c>
      <c r="E27" s="14">
        <f>(E11+I11)/2</f>
        <v>370576.5</v>
      </c>
      <c r="F27" s="14">
        <f>(F11+J11)/2</f>
        <v>351396.5</v>
      </c>
      <c r="G27" s="15">
        <f>(G11+K11)/2</f>
        <v>342212</v>
      </c>
      <c r="H27" s="16">
        <f>(H11+307175)/2</f>
        <v>322298</v>
      </c>
      <c r="I27" s="16">
        <f>(I11+294824)/2</f>
        <v>306934</v>
      </c>
      <c r="J27" s="17">
        <f>(J11+298125)/2</f>
        <v>309894</v>
      </c>
      <c r="K27" s="14">
        <f>(K11+L11)/2</f>
        <v>287823.5</v>
      </c>
      <c r="L27" s="14">
        <f>(L11+216665)/2</f>
        <v>239518</v>
      </c>
    </row>
    <row r="28" spans="1:12" ht="11.25">
      <c r="A28" s="1" t="s">
        <v>24</v>
      </c>
      <c r="C28" s="14">
        <f aca="true" t="shared" si="4" ref="C28:L28">C29+C30</f>
        <v>399815</v>
      </c>
      <c r="D28" s="14">
        <f t="shared" si="4"/>
        <v>373158</v>
      </c>
      <c r="E28" s="14">
        <f t="shared" si="4"/>
        <v>342069.5</v>
      </c>
      <c r="F28" s="14">
        <f t="shared" si="4"/>
        <v>327846.5</v>
      </c>
      <c r="G28" s="15">
        <f t="shared" si="4"/>
        <v>310546</v>
      </c>
      <c r="H28" s="16">
        <f t="shared" si="4"/>
        <v>298111.5</v>
      </c>
      <c r="I28" s="16">
        <f t="shared" si="4"/>
        <v>282469</v>
      </c>
      <c r="J28" s="17">
        <f t="shared" si="4"/>
        <v>287382.5</v>
      </c>
      <c r="K28" s="14">
        <f t="shared" si="4"/>
        <v>255617.5</v>
      </c>
      <c r="L28" s="14">
        <f t="shared" si="4"/>
        <v>210393.5</v>
      </c>
    </row>
    <row r="29" spans="2:12" ht="11.25">
      <c r="B29" s="1" t="s">
        <v>14</v>
      </c>
      <c r="C29" s="14">
        <f>(C13+G13)/2</f>
        <v>346796.5</v>
      </c>
      <c r="D29" s="14">
        <f>(D13+H13)/2</f>
        <v>327241.5</v>
      </c>
      <c r="E29" s="14">
        <f>(E13+I13)/2</f>
        <v>299997.5</v>
      </c>
      <c r="F29" s="14">
        <f>(F13+J13)/2</f>
        <v>294069</v>
      </c>
      <c r="G29" s="15">
        <f>(G13+K13)/2</f>
        <v>276670.5</v>
      </c>
      <c r="H29" s="16">
        <f>(H13+250885)/2</f>
        <v>265882</v>
      </c>
      <c r="I29" s="16">
        <f>(I13+240288)/2</f>
        <v>250204</v>
      </c>
      <c r="J29" s="17">
        <f>(J13+243692)/2</f>
        <v>256081</v>
      </c>
      <c r="K29" s="14">
        <f>(K13+L13)/2</f>
        <v>230093</v>
      </c>
      <c r="L29" s="14">
        <f>(L13+169408)/2</f>
        <v>190609.5</v>
      </c>
    </row>
    <row r="30" spans="2:12" ht="11.25">
      <c r="B30" s="1" t="s">
        <v>17</v>
      </c>
      <c r="C30" s="14">
        <f>(C16+G16)/2</f>
        <v>53018.5</v>
      </c>
      <c r="D30" s="14">
        <f>(D16+H16)/2</f>
        <v>45916.5</v>
      </c>
      <c r="E30" s="14">
        <f>(E16+I16)/2</f>
        <v>42072</v>
      </c>
      <c r="F30" s="14">
        <f>(F16+J16)/2</f>
        <v>33777.5</v>
      </c>
      <c r="G30" s="15">
        <f>(G16+K16)/2</f>
        <v>33875.5</v>
      </c>
      <c r="H30" s="16">
        <f>(H16+31300)/2</f>
        <v>32229.5</v>
      </c>
      <c r="I30" s="16">
        <f>(I16+31336)/2</f>
        <v>32265</v>
      </c>
      <c r="J30" s="17">
        <f>(J16+31373)/2</f>
        <v>31301.5</v>
      </c>
      <c r="K30" s="14">
        <f>(K16+L16)/2</f>
        <v>25524.5</v>
      </c>
      <c r="L30" s="14">
        <f>(L16+19784)/2</f>
        <v>19784</v>
      </c>
    </row>
    <row r="31" spans="1:12" ht="11.25">
      <c r="A31" s="2" t="s">
        <v>22</v>
      </c>
      <c r="B31" s="2"/>
      <c r="C31" s="18">
        <f>(C25+G25)/2</f>
        <v>10000</v>
      </c>
      <c r="D31" s="18">
        <f>(D25+H25)/2</f>
        <v>10000</v>
      </c>
      <c r="E31" s="18">
        <f>(E25+I25)/2</f>
        <v>10000</v>
      </c>
      <c r="F31" s="18">
        <f>(F25+J25)/2</f>
        <v>10000</v>
      </c>
      <c r="G31" s="19">
        <f>(G25+K25)/2</f>
        <v>10000</v>
      </c>
      <c r="H31" s="18">
        <v>10000</v>
      </c>
      <c r="I31" s="18">
        <v>10000</v>
      </c>
      <c r="J31" s="20">
        <v>10000</v>
      </c>
      <c r="K31" s="18">
        <f>(K25+L25)/2</f>
        <v>10000</v>
      </c>
      <c r="L31" s="18">
        <f>(L25+7000)/2</f>
        <v>8500</v>
      </c>
    </row>
    <row r="32" spans="1:10" ht="11.25">
      <c r="A32" s="9" t="s">
        <v>25</v>
      </c>
      <c r="D32" s="14"/>
      <c r="F32" s="14"/>
      <c r="G32" s="21"/>
      <c r="H32" s="22"/>
      <c r="I32" s="22"/>
      <c r="J32" s="23"/>
    </row>
    <row r="33" spans="1:12" ht="11.25">
      <c r="A33" s="1" t="s">
        <v>26</v>
      </c>
      <c r="C33" s="24">
        <v>26098</v>
      </c>
      <c r="D33" s="14">
        <f>E33+6539</f>
        <v>20086</v>
      </c>
      <c r="E33" s="14">
        <f>F33+6417</f>
        <v>13547</v>
      </c>
      <c r="F33" s="14">
        <v>7130</v>
      </c>
      <c r="G33" s="15">
        <f>6606+H33</f>
        <v>26547</v>
      </c>
      <c r="H33" s="16">
        <f>7156+I33</f>
        <v>19941</v>
      </c>
      <c r="I33" s="16">
        <f>6347+J33</f>
        <v>12785</v>
      </c>
      <c r="J33" s="17">
        <v>6438</v>
      </c>
      <c r="K33" s="14">
        <v>20738</v>
      </c>
      <c r="L33" s="14">
        <v>16576</v>
      </c>
    </row>
    <row r="34" spans="1:12" ht="11.25">
      <c r="A34" s="1" t="s">
        <v>27</v>
      </c>
      <c r="C34" s="24">
        <v>17617</v>
      </c>
      <c r="D34" s="14">
        <f>E34+4103</f>
        <v>14133</v>
      </c>
      <c r="E34" s="14">
        <f>F34+4723</f>
        <v>10030</v>
      </c>
      <c r="F34" s="14">
        <v>5307</v>
      </c>
      <c r="G34" s="15">
        <f>5393+H34</f>
        <v>19425</v>
      </c>
      <c r="H34" s="16">
        <f>5310+I34</f>
        <v>14032</v>
      </c>
      <c r="I34" s="16">
        <f>4752+J34</f>
        <v>8722</v>
      </c>
      <c r="J34" s="17">
        <v>3970</v>
      </c>
      <c r="K34" s="14">
        <v>14855</v>
      </c>
      <c r="L34" s="14">
        <v>12029</v>
      </c>
    </row>
    <row r="35" spans="1:12" ht="11.25">
      <c r="A35" s="1" t="s">
        <v>28</v>
      </c>
      <c r="C35" s="14">
        <f aca="true" t="shared" si="5" ref="C35:L35">C33-C34</f>
        <v>8481</v>
      </c>
      <c r="D35" s="14">
        <f t="shared" si="5"/>
        <v>5953</v>
      </c>
      <c r="E35" s="14">
        <f t="shared" si="5"/>
        <v>3517</v>
      </c>
      <c r="F35" s="14">
        <f t="shared" si="5"/>
        <v>1823</v>
      </c>
      <c r="G35" s="15">
        <f t="shared" si="5"/>
        <v>7122</v>
      </c>
      <c r="H35" s="16">
        <f t="shared" si="5"/>
        <v>5909</v>
      </c>
      <c r="I35" s="16">
        <f t="shared" si="5"/>
        <v>4063</v>
      </c>
      <c r="J35" s="17">
        <f t="shared" si="5"/>
        <v>2468</v>
      </c>
      <c r="K35" s="14">
        <f t="shared" si="5"/>
        <v>5883</v>
      </c>
      <c r="L35" s="14">
        <f t="shared" si="5"/>
        <v>4547</v>
      </c>
    </row>
    <row r="36" spans="1:12" ht="11.25">
      <c r="A36" s="1" t="s">
        <v>29</v>
      </c>
      <c r="C36" s="24">
        <v>1292</v>
      </c>
      <c r="D36" s="14">
        <f>E36+460</f>
        <v>983</v>
      </c>
      <c r="E36" s="14">
        <f>F36+243</f>
        <v>523</v>
      </c>
      <c r="F36" s="14">
        <v>280</v>
      </c>
      <c r="G36" s="15">
        <f>242+H36</f>
        <v>1000</v>
      </c>
      <c r="H36" s="16">
        <f>289+I36</f>
        <v>758</v>
      </c>
      <c r="I36" s="16">
        <f>271+J36</f>
        <v>469</v>
      </c>
      <c r="J36" s="17">
        <v>198</v>
      </c>
      <c r="K36" s="14">
        <v>1314</v>
      </c>
      <c r="L36" s="14">
        <v>646</v>
      </c>
    </row>
    <row r="37" spans="1:12" ht="11.25">
      <c r="A37" s="1" t="s">
        <v>30</v>
      </c>
      <c r="C37" s="14">
        <f aca="true" t="shared" si="6" ref="C37:L37">C35+C36</f>
        <v>9773</v>
      </c>
      <c r="D37" s="14">
        <f t="shared" si="6"/>
        <v>6936</v>
      </c>
      <c r="E37" s="14">
        <f t="shared" si="6"/>
        <v>4040</v>
      </c>
      <c r="F37" s="14">
        <f t="shared" si="6"/>
        <v>2103</v>
      </c>
      <c r="G37" s="15">
        <f t="shared" si="6"/>
        <v>8122</v>
      </c>
      <c r="H37" s="16">
        <f t="shared" si="6"/>
        <v>6667</v>
      </c>
      <c r="I37" s="16">
        <f t="shared" si="6"/>
        <v>4532</v>
      </c>
      <c r="J37" s="17">
        <f t="shared" si="6"/>
        <v>2666</v>
      </c>
      <c r="K37" s="14">
        <f t="shared" si="6"/>
        <v>7197</v>
      </c>
      <c r="L37" s="14">
        <f t="shared" si="6"/>
        <v>5193</v>
      </c>
    </row>
    <row r="38" spans="1:12" ht="11.25">
      <c r="A38" s="1" t="s">
        <v>31</v>
      </c>
      <c r="C38" s="24">
        <v>2817</v>
      </c>
      <c r="D38" s="14">
        <f>E38+671</f>
        <v>1972</v>
      </c>
      <c r="E38" s="14">
        <f>F38+619</f>
        <v>1301</v>
      </c>
      <c r="F38" s="14">
        <v>682</v>
      </c>
      <c r="G38" s="15">
        <f>651+H38</f>
        <v>2499</v>
      </c>
      <c r="H38" s="16">
        <f>707+I38</f>
        <v>1848</v>
      </c>
      <c r="I38" s="16">
        <f>530+J38</f>
        <v>1141</v>
      </c>
      <c r="J38" s="17">
        <v>611</v>
      </c>
      <c r="K38" s="14">
        <v>2262</v>
      </c>
      <c r="L38" s="14">
        <v>1571</v>
      </c>
    </row>
    <row r="39" spans="1:12" ht="11.25">
      <c r="A39" s="1" t="s">
        <v>32</v>
      </c>
      <c r="C39" s="14">
        <f aca="true" t="shared" si="7" ref="C39:L39">C37-C38</f>
        <v>6956</v>
      </c>
      <c r="D39" s="14">
        <f t="shared" si="7"/>
        <v>4964</v>
      </c>
      <c r="E39" s="14">
        <f t="shared" si="7"/>
        <v>2739</v>
      </c>
      <c r="F39" s="14">
        <f t="shared" si="7"/>
        <v>1421</v>
      </c>
      <c r="G39" s="15">
        <f t="shared" si="7"/>
        <v>5623</v>
      </c>
      <c r="H39" s="16">
        <f t="shared" si="7"/>
        <v>4819</v>
      </c>
      <c r="I39" s="16">
        <f t="shared" si="7"/>
        <v>3391</v>
      </c>
      <c r="J39" s="17">
        <f t="shared" si="7"/>
        <v>2055</v>
      </c>
      <c r="K39" s="14">
        <f t="shared" si="7"/>
        <v>4935</v>
      </c>
      <c r="L39" s="14">
        <f t="shared" si="7"/>
        <v>3622</v>
      </c>
    </row>
    <row r="40" spans="1:12" ht="11.25">
      <c r="A40" s="2" t="s">
        <v>33</v>
      </c>
      <c r="B40" s="2"/>
      <c r="C40" s="25">
        <v>3485</v>
      </c>
      <c r="D40" s="18">
        <f>E40+2227</f>
        <v>4971</v>
      </c>
      <c r="E40" s="18">
        <f>F40+1322</f>
        <v>2744</v>
      </c>
      <c r="F40" s="18">
        <v>1422</v>
      </c>
      <c r="G40" s="19">
        <f>-2081+H40</f>
        <v>2738</v>
      </c>
      <c r="H40" s="18">
        <f>1428+I40</f>
        <v>4819</v>
      </c>
      <c r="I40" s="18">
        <f>1336+J40</f>
        <v>3391</v>
      </c>
      <c r="J40" s="20">
        <v>2055</v>
      </c>
      <c r="K40" s="18">
        <v>4935</v>
      </c>
      <c r="L40" s="18">
        <v>3622</v>
      </c>
    </row>
    <row r="41" spans="1:10" ht="11.25">
      <c r="A41" s="9" t="s">
        <v>34</v>
      </c>
      <c r="D41" s="14"/>
      <c r="E41" s="14"/>
      <c r="G41" s="21"/>
      <c r="H41" s="22"/>
      <c r="I41" s="22"/>
      <c r="J41" s="23"/>
    </row>
    <row r="42" spans="1:12" ht="11.25">
      <c r="A42" s="1" t="s">
        <v>35</v>
      </c>
      <c r="C42" s="14">
        <v>32258</v>
      </c>
      <c r="D42" s="14">
        <v>15001</v>
      </c>
      <c r="E42" s="14">
        <v>15267</v>
      </c>
      <c r="F42" s="14">
        <v>14348</v>
      </c>
      <c r="G42" s="15">
        <v>15167</v>
      </c>
      <c r="H42" s="16">
        <v>1697</v>
      </c>
      <c r="I42" s="16">
        <v>1701</v>
      </c>
      <c r="J42" s="17">
        <v>1702</v>
      </c>
      <c r="K42" s="14">
        <v>1702</v>
      </c>
      <c r="L42" s="14">
        <v>376</v>
      </c>
    </row>
    <row r="43" spans="1:12" ht="11.25">
      <c r="A43" s="1" t="s">
        <v>36</v>
      </c>
      <c r="C43" s="14">
        <v>6356</v>
      </c>
      <c r="D43" s="14">
        <v>2877</v>
      </c>
      <c r="E43" s="14">
        <v>2879</v>
      </c>
      <c r="F43" s="14">
        <v>0</v>
      </c>
      <c r="G43" s="15">
        <v>2884</v>
      </c>
      <c r="H43" s="16">
        <v>0</v>
      </c>
      <c r="I43" s="16">
        <v>0</v>
      </c>
      <c r="J43" s="17">
        <v>0</v>
      </c>
      <c r="K43" s="14">
        <v>0</v>
      </c>
      <c r="L43" s="14">
        <v>0</v>
      </c>
    </row>
    <row r="44" spans="1:12" ht="11.25">
      <c r="A44" s="1" t="s">
        <v>37</v>
      </c>
      <c r="C44" s="26">
        <f aca="true" t="shared" si="8" ref="C44:L44">C42/C13</f>
        <v>0.0830050408232058</v>
      </c>
      <c r="D44" s="26">
        <f t="shared" si="8"/>
        <v>0.04015213969871843</v>
      </c>
      <c r="E44" s="26">
        <f t="shared" si="8"/>
        <v>0.04491945568223612</v>
      </c>
      <c r="F44" s="26">
        <f t="shared" si="8"/>
        <v>0.04488406721974048</v>
      </c>
      <c r="G44" s="27">
        <f t="shared" si="8"/>
        <v>0.049733412905045155</v>
      </c>
      <c r="H44" s="28">
        <f t="shared" si="8"/>
        <v>0.0060417475140540945</v>
      </c>
      <c r="I44" s="28">
        <f t="shared" si="8"/>
        <v>0.0065392895586652315</v>
      </c>
      <c r="J44" s="29">
        <f t="shared" si="8"/>
        <v>0.006339628263865609</v>
      </c>
      <c r="K44" s="26">
        <f t="shared" si="8"/>
        <v>0.0068525415198792145</v>
      </c>
      <c r="L44" s="26">
        <f t="shared" si="8"/>
        <v>0.001775167484219422</v>
      </c>
    </row>
    <row r="45" spans="1:12" ht="11.25">
      <c r="A45" s="1" t="s">
        <v>38</v>
      </c>
      <c r="C45" s="26">
        <f aca="true" t="shared" si="9" ref="C45:L45">C43/C42</f>
        <v>0.19703639407278814</v>
      </c>
      <c r="D45" s="26">
        <f t="shared" si="9"/>
        <v>0.19178721418572095</v>
      </c>
      <c r="E45" s="26">
        <f t="shared" si="9"/>
        <v>0.18857666863168926</v>
      </c>
      <c r="F45" s="26">
        <f t="shared" si="9"/>
        <v>0</v>
      </c>
      <c r="G45" s="27">
        <f t="shared" si="9"/>
        <v>0.19014966704028483</v>
      </c>
      <c r="H45" s="28">
        <f t="shared" si="9"/>
        <v>0</v>
      </c>
      <c r="I45" s="28">
        <f t="shared" si="9"/>
        <v>0</v>
      </c>
      <c r="J45" s="29">
        <f t="shared" si="9"/>
        <v>0</v>
      </c>
      <c r="K45" s="26">
        <f t="shared" si="9"/>
        <v>0</v>
      </c>
      <c r="L45" s="26">
        <f t="shared" si="9"/>
        <v>0</v>
      </c>
    </row>
    <row r="46" spans="1:12" ht="11.25">
      <c r="A46" s="2" t="s">
        <v>39</v>
      </c>
      <c r="B46" s="2"/>
      <c r="C46" s="30">
        <f aca="true" t="shared" si="10" ref="C46:L46">C43/C13</f>
        <v>0.016355013933669046</v>
      </c>
      <c r="D46" s="30">
        <f t="shared" si="10"/>
        <v>0.0077006670164131005</v>
      </c>
      <c r="E46" s="30">
        <f t="shared" si="10"/>
        <v>0.008470761309304891</v>
      </c>
      <c r="F46" s="30">
        <f t="shared" si="10"/>
        <v>0</v>
      </c>
      <c r="G46" s="31">
        <f t="shared" si="10"/>
        <v>0.00945679190467134</v>
      </c>
      <c r="H46" s="30">
        <f t="shared" si="10"/>
        <v>0</v>
      </c>
      <c r="I46" s="30">
        <f t="shared" si="10"/>
        <v>0</v>
      </c>
      <c r="J46" s="32">
        <f t="shared" si="10"/>
        <v>0</v>
      </c>
      <c r="K46" s="30">
        <f t="shared" si="10"/>
        <v>0</v>
      </c>
      <c r="L46" s="30">
        <f t="shared" si="10"/>
        <v>0</v>
      </c>
    </row>
    <row r="47" spans="1:10" ht="11.25">
      <c r="A47" s="9" t="s">
        <v>40</v>
      </c>
      <c r="G47" s="21"/>
      <c r="H47" s="22"/>
      <c r="I47" s="22"/>
      <c r="J47" s="23"/>
    </row>
    <row r="48" spans="1:12" ht="11.25">
      <c r="A48" s="1" t="s">
        <v>41</v>
      </c>
      <c r="C48" s="26">
        <f aca="true" t="shared" si="11" ref="C48:L48">C25/(C13+C16)</f>
        <v>0.021825578705219367</v>
      </c>
      <c r="D48" s="26">
        <f t="shared" si="11"/>
        <v>0.023133261466001045</v>
      </c>
      <c r="E48" s="26">
        <f t="shared" si="11"/>
        <v>0.025586899507452184</v>
      </c>
      <c r="F48" s="26">
        <f t="shared" si="11"/>
        <v>0.028090439980561415</v>
      </c>
      <c r="G48" s="27">
        <f t="shared" si="11"/>
        <v>0.029286693298033104</v>
      </c>
      <c r="H48" s="28">
        <f t="shared" si="11"/>
        <v>0.031843280112597835</v>
      </c>
      <c r="I48" s="28">
        <f t="shared" si="11"/>
        <v>0.03409315613983649</v>
      </c>
      <c r="J48" s="29">
        <f t="shared" si="11"/>
        <v>0.0333667000333667</v>
      </c>
      <c r="K48" s="26">
        <f t="shared" si="11"/>
        <v>0.03576026319553712</v>
      </c>
      <c r="L48" s="26">
        <f t="shared" si="11"/>
        <v>0.043178825104168914</v>
      </c>
    </row>
    <row r="49" spans="1:12" ht="11.25">
      <c r="A49" s="2" t="s">
        <v>42</v>
      </c>
      <c r="B49" s="2"/>
      <c r="C49" s="30">
        <f>C25/C13</f>
        <v>0.025731614118422036</v>
      </c>
      <c r="D49" s="30">
        <f aca="true" t="shared" si="12" ref="D49:L49">D25/D11</f>
        <v>0.021737949024509536</v>
      </c>
      <c r="E49" s="30">
        <f t="shared" si="12"/>
        <v>0.02369056333790561</v>
      </c>
      <c r="F49" s="30">
        <f t="shared" si="12"/>
        <v>0.026237766641303492</v>
      </c>
      <c r="G49" s="31">
        <f t="shared" si="12"/>
        <v>0.026943429575263775</v>
      </c>
      <c r="H49" s="30">
        <f t="shared" si="12"/>
        <v>0.029636566781557756</v>
      </c>
      <c r="I49" s="30">
        <f t="shared" si="12"/>
        <v>0.031343639121876606</v>
      </c>
      <c r="J49" s="32">
        <f t="shared" si="12"/>
        <v>0.031088437277523372</v>
      </c>
      <c r="K49" s="30">
        <f t="shared" si="12"/>
        <v>0.03192073443225782</v>
      </c>
      <c r="L49" s="30">
        <f t="shared" si="12"/>
        <v>0.03811396838827462</v>
      </c>
    </row>
    <row r="50" spans="1:12" ht="11.25">
      <c r="A50" s="9" t="s">
        <v>43</v>
      </c>
      <c r="F50" s="33"/>
      <c r="G50" s="34"/>
      <c r="H50" s="35"/>
      <c r="I50" s="35"/>
      <c r="J50" s="36"/>
      <c r="K50" s="33"/>
      <c r="L50" s="33"/>
    </row>
    <row r="51" spans="1:12" ht="11.25">
      <c r="A51" s="1" t="s">
        <v>44</v>
      </c>
      <c r="C51" s="33">
        <f aca="true" t="shared" si="13" ref="C51:L51">C12/C17</f>
        <v>0.04934505115111844</v>
      </c>
      <c r="D51" s="33">
        <f t="shared" si="13"/>
        <v>0.053319234060645045</v>
      </c>
      <c r="E51" s="33">
        <f t="shared" si="13"/>
        <v>0.0751976254656692</v>
      </c>
      <c r="F51" s="33">
        <f t="shared" si="13"/>
        <v>0.0606396613519181</v>
      </c>
      <c r="G51" s="34">
        <f t="shared" si="13"/>
        <v>0.08183385903868762</v>
      </c>
      <c r="H51" s="35">
        <f t="shared" si="13"/>
        <v>0.067035505383555</v>
      </c>
      <c r="I51" s="35">
        <f t="shared" si="13"/>
        <v>0.08004812178145881</v>
      </c>
      <c r="J51" s="36">
        <f t="shared" si="13"/>
        <v>0.06716539527087327</v>
      </c>
      <c r="K51" s="33">
        <f t="shared" si="13"/>
        <v>0.11821901697185515</v>
      </c>
      <c r="L51" s="33">
        <f t="shared" si="13"/>
        <v>0.13068036970202895</v>
      </c>
    </row>
    <row r="52" spans="1:12" ht="11.25">
      <c r="A52" s="1" t="s">
        <v>45</v>
      </c>
      <c r="C52" s="33">
        <f aca="true" t="shared" si="14" ref="C52:L52">C12/C11</f>
        <v>0.040636176694749</v>
      </c>
      <c r="D52" s="33">
        <f t="shared" si="14"/>
        <v>0.04252812347155046</v>
      </c>
      <c r="E52" s="33">
        <f t="shared" si="14"/>
        <v>0.058818930655352056</v>
      </c>
      <c r="F52" s="33">
        <f t="shared" si="14"/>
        <v>0.04878650329283971</v>
      </c>
      <c r="G52" s="34">
        <f t="shared" si="14"/>
        <v>0.06507915979609212</v>
      </c>
      <c r="H52" s="35">
        <f t="shared" si="14"/>
        <v>0.05332507461005687</v>
      </c>
      <c r="I52" s="35">
        <f t="shared" si="14"/>
        <v>0.06319191083361543</v>
      </c>
      <c r="J52" s="36">
        <f t="shared" si="14"/>
        <v>0.05381408492739295</v>
      </c>
      <c r="K52" s="33">
        <f t="shared" si="14"/>
        <v>0.09240733410794316</v>
      </c>
      <c r="L52" s="33">
        <f t="shared" si="14"/>
        <v>0.09964134755746634</v>
      </c>
    </row>
    <row r="53" spans="1:12" ht="11.25">
      <c r="A53" s="2" t="s">
        <v>46</v>
      </c>
      <c r="B53" s="2"/>
      <c r="C53" s="37">
        <f aca="true" t="shared" si="15" ref="C53:L53">(C12+C16)/C17</f>
        <v>0.22284475554480118</v>
      </c>
      <c r="D53" s="37">
        <f t="shared" si="15"/>
        <v>0.21322787949482452</v>
      </c>
      <c r="E53" s="37">
        <f t="shared" si="15"/>
        <v>0.22951206953993397</v>
      </c>
      <c r="F53" s="37">
        <f t="shared" si="15"/>
        <v>0.17910452628729645</v>
      </c>
      <c r="G53" s="38">
        <f t="shared" si="15"/>
        <v>0.20544858872675406</v>
      </c>
      <c r="H53" s="37">
        <f t="shared" si="15"/>
        <v>0.19057412167952015</v>
      </c>
      <c r="I53" s="37">
        <f t="shared" si="15"/>
        <v>0.21184304040720875</v>
      </c>
      <c r="J53" s="39">
        <f t="shared" si="15"/>
        <v>0.18834247755333267</v>
      </c>
      <c r="K53" s="37">
        <f t="shared" si="15"/>
        <v>0.2458958819974191</v>
      </c>
      <c r="L53" s="37">
        <f t="shared" si="15"/>
        <v>0.2295741628468456</v>
      </c>
    </row>
    <row r="54" spans="1:10" ht="11.25">
      <c r="A54" s="9" t="s">
        <v>47</v>
      </c>
      <c r="G54" s="21"/>
      <c r="H54" s="22"/>
      <c r="I54" s="22"/>
      <c r="J54" s="23"/>
    </row>
    <row r="55" spans="1:12" ht="11.25">
      <c r="A55" s="1" t="s">
        <v>48</v>
      </c>
      <c r="B55" s="22"/>
      <c r="C55" s="40">
        <f>C40/C28</f>
        <v>0.008716531395770544</v>
      </c>
      <c r="D55" s="40">
        <f>(D40/0.75)/D28</f>
        <v>0.017761913184227592</v>
      </c>
      <c r="E55" s="26">
        <f>(E40/0.5)/E28</f>
        <v>0.016043523319091587</v>
      </c>
      <c r="F55" s="26">
        <f>((F40)/0.25)/F28</f>
        <v>0.017349582807807924</v>
      </c>
      <c r="G55" s="41">
        <f>G40/G28</f>
        <v>0.008816729244620765</v>
      </c>
      <c r="H55" s="40">
        <f>(H40/0.75)/H28</f>
        <v>0.021553456788259873</v>
      </c>
      <c r="I55" s="40">
        <f>(I40/0.5)/I28</f>
        <v>0.024009714340334692</v>
      </c>
      <c r="J55" s="29">
        <f>((J40)/0.25)/J28</f>
        <v>0.028602994267222254</v>
      </c>
      <c r="K55" s="26">
        <f>K40/K28</f>
        <v>0.019306189912662475</v>
      </c>
      <c r="L55" s="26">
        <f>L40/L28</f>
        <v>0.017215360740707293</v>
      </c>
    </row>
    <row r="56" spans="1:12" ht="11.25">
      <c r="A56" s="1" t="s">
        <v>49</v>
      </c>
      <c r="B56" s="22"/>
      <c r="C56" s="40">
        <f>C40/C27</f>
        <v>0.008124196468014327</v>
      </c>
      <c r="D56" s="40">
        <f>(D40/0.75)/D27</f>
        <v>0.016623069148255808</v>
      </c>
      <c r="E56" s="26">
        <f>(E40/0.5)/E27</f>
        <v>0.014809357851887531</v>
      </c>
      <c r="F56" s="26">
        <f>((F40)/0.25)/F27</f>
        <v>0.016186843067588892</v>
      </c>
      <c r="G56" s="41">
        <f>G40/G27</f>
        <v>0.00800088833822309</v>
      </c>
      <c r="H56" s="40">
        <f>(H40/0.75)/H27</f>
        <v>0.019936001257635273</v>
      </c>
      <c r="I56" s="40">
        <f>(I40/0.5)/I27</f>
        <v>0.022095955482286093</v>
      </c>
      <c r="J56" s="29">
        <f>((J40)/0.25)/J27</f>
        <v>0.026525198938992044</v>
      </c>
      <c r="K56" s="26">
        <f>K40/K27</f>
        <v>0.01714592449886823</v>
      </c>
      <c r="L56" s="26">
        <f>L40/L27</f>
        <v>0.01512203675715395</v>
      </c>
    </row>
    <row r="57" spans="1:12" ht="11.25">
      <c r="A57" s="1" t="s">
        <v>50</v>
      </c>
      <c r="B57" s="22"/>
      <c r="C57" s="40">
        <f>+C40/C31</f>
        <v>0.3485</v>
      </c>
      <c r="D57" s="40">
        <f>(D40/0.75)/D31</f>
        <v>0.6628</v>
      </c>
      <c r="E57" s="26">
        <f>(E40/0.5)/E31</f>
        <v>0.5488</v>
      </c>
      <c r="F57" s="26">
        <f>((F40)/0.25)/F31</f>
        <v>0.5688</v>
      </c>
      <c r="G57" s="41">
        <f>+G40/G31</f>
        <v>0.2738</v>
      </c>
      <c r="H57" s="40">
        <f>(H40/0.75)/H31</f>
        <v>0.6425333333333333</v>
      </c>
      <c r="I57" s="40">
        <f>(I40/0.5)/I31</f>
        <v>0.6782</v>
      </c>
      <c r="J57" s="29">
        <f>((J40)/0.25)/J31</f>
        <v>0.822</v>
      </c>
      <c r="K57" s="26">
        <f>K40/K31</f>
        <v>0.4935</v>
      </c>
      <c r="L57" s="26">
        <f>L40/L31</f>
        <v>0.42611764705882355</v>
      </c>
    </row>
    <row r="58" spans="1:12" ht="11.25">
      <c r="A58" s="1" t="s">
        <v>51</v>
      </c>
      <c r="B58" s="22"/>
      <c r="C58" s="40">
        <f>C33/C28</f>
        <v>0.06527518977527107</v>
      </c>
      <c r="D58" s="40">
        <f>(D33/0.75)/D28</f>
        <v>0.07176942028131068</v>
      </c>
      <c r="E58" s="26">
        <f>(E33/0.5)/E28</f>
        <v>0.07920612624042775</v>
      </c>
      <c r="F58" s="26">
        <f>((F33)/0.25)/F28</f>
        <v>0.08699193067487376</v>
      </c>
      <c r="G58" s="41">
        <f>G33/G28</f>
        <v>0.08548492010845414</v>
      </c>
      <c r="H58" s="40">
        <f>(H33/0.75)/H28</f>
        <v>0.08918810579263128</v>
      </c>
      <c r="I58" s="40">
        <f>(I33/0.5)/I28</f>
        <v>0.09052320785643735</v>
      </c>
      <c r="J58" s="29">
        <f>((J33)/0.25)/J28</f>
        <v>0.08960879663862623</v>
      </c>
      <c r="K58" s="26">
        <f>K33/K28</f>
        <v>0.08112903068060677</v>
      </c>
      <c r="L58" s="26">
        <f>L33/L27</f>
        <v>0.06920565468983542</v>
      </c>
    </row>
    <row r="59" spans="1:12" ht="11.25">
      <c r="A59" s="1" t="s">
        <v>52</v>
      </c>
      <c r="B59" s="22"/>
      <c r="C59" s="40">
        <f>C34/C28</f>
        <v>0.04406287908157523</v>
      </c>
      <c r="D59" s="40">
        <f>(D34/0.75)/D28</f>
        <v>0.05049871636143403</v>
      </c>
      <c r="E59" s="26">
        <f>(E34/0.5)/E28</f>
        <v>0.058643053531519176</v>
      </c>
      <c r="F59" s="26">
        <f>((F34)/0.25)/F28</f>
        <v>0.06474981431859117</v>
      </c>
      <c r="G59" s="41">
        <f>G34/G28</f>
        <v>0.06255111964089057</v>
      </c>
      <c r="H59" s="40">
        <f>(H34/0.75)/H28</f>
        <v>0.0627595155951157</v>
      </c>
      <c r="I59" s="40">
        <f>(I34/0.5)/I28</f>
        <v>0.06175544927053942</v>
      </c>
      <c r="J59" s="29">
        <f>((J34)/0.25)/J28</f>
        <v>0.055257366053952484</v>
      </c>
      <c r="K59" s="26">
        <f>K34/K28</f>
        <v>0.058114174499007305</v>
      </c>
      <c r="L59" s="26">
        <f>L34/L27</f>
        <v>0.05022169523793619</v>
      </c>
    </row>
    <row r="60" spans="1:12" ht="11.25">
      <c r="A60" s="1" t="s">
        <v>53</v>
      </c>
      <c r="B60" s="22"/>
      <c r="C60" s="40">
        <f>C35/C28</f>
        <v>0.021212310693695835</v>
      </c>
      <c r="D60" s="40">
        <f>(D35/0.75)/D28</f>
        <v>0.021270703919876656</v>
      </c>
      <c r="E60" s="26">
        <f>(E35/0.5)/E28</f>
        <v>0.02056307270890857</v>
      </c>
      <c r="F60" s="26">
        <f>((F35)/0.25)/F28</f>
        <v>0.02224211635628259</v>
      </c>
      <c r="G60" s="41">
        <f>G35/G28</f>
        <v>0.022933800467563582</v>
      </c>
      <c r="H60" s="40">
        <f>(H35/0.75)/H28</f>
        <v>0.026428590197515586</v>
      </c>
      <c r="I60" s="40">
        <f>(I35/0.5)/I28</f>
        <v>0.02876775858589792</v>
      </c>
      <c r="J60" s="29">
        <f>((J35)/0.25)/J28</f>
        <v>0.034351430584673735</v>
      </c>
      <c r="K60" s="26">
        <f>K35/K28</f>
        <v>0.02301485618159946</v>
      </c>
      <c r="L60" s="26">
        <f>L35/L27</f>
        <v>0.01898395945189923</v>
      </c>
    </row>
    <row r="61" spans="1:12" ht="11.25">
      <c r="A61" s="1" t="s">
        <v>54</v>
      </c>
      <c r="B61" s="22"/>
      <c r="C61" s="40">
        <f>C38/C37</f>
        <v>0.28824311879668474</v>
      </c>
      <c r="D61" s="40">
        <f>(D38/0.75)/(D37/0.75)</f>
        <v>0.28431372549019607</v>
      </c>
      <c r="E61" s="26">
        <f>(E38/0.5)/(E37/0.5)</f>
        <v>0.32202970297029704</v>
      </c>
      <c r="F61" s="26">
        <f>(F38/0.25)/(F37/0.25)</f>
        <v>0.32429862101759394</v>
      </c>
      <c r="G61" s="41">
        <f>G38/G37</f>
        <v>0.3076828367397193</v>
      </c>
      <c r="H61" s="40">
        <f>(H38/0.75)/(H37/0.75)</f>
        <v>0.2771861406929653</v>
      </c>
      <c r="I61" s="40">
        <f>(I38/0.5)/(I37/0.5)</f>
        <v>0.2517652250661959</v>
      </c>
      <c r="J61" s="29">
        <f>(J38/0.25)/(J37/0.25)</f>
        <v>0.22918229557389347</v>
      </c>
      <c r="K61" s="26">
        <f>K38/K37</f>
        <v>0.31429762401000416</v>
      </c>
      <c r="L61" s="26">
        <f>L38/L37</f>
        <v>0.3025226266127479</v>
      </c>
    </row>
    <row r="62" spans="1:12" ht="11.25">
      <c r="A62" s="2" t="s">
        <v>55</v>
      </c>
      <c r="B62" s="2"/>
      <c r="C62" s="42">
        <f>C36/C28</f>
        <v>0.0032314945662368848</v>
      </c>
      <c r="D62" s="42">
        <f>(D36/0.75)/D28</f>
        <v>0.003512363842304511</v>
      </c>
      <c r="E62" s="30">
        <f>(E36/0.5)/E28</f>
        <v>0.0030578581253224856</v>
      </c>
      <c r="F62" s="30">
        <f>(F36/0.25)/F28</f>
        <v>0.003416232901678072</v>
      </c>
      <c r="G62" s="43">
        <f>G36/G28</f>
        <v>0.0032201348592479054</v>
      </c>
      <c r="H62" s="42">
        <f>(H36/0.75)/H28</f>
        <v>0.0033902303891888324</v>
      </c>
      <c r="I62" s="42">
        <f>(I36/0.5)/I28</f>
        <v>0.003320718379716004</v>
      </c>
      <c r="J62" s="32">
        <f>(J36/0.25)/J28</f>
        <v>0.002755908936695867</v>
      </c>
      <c r="K62" s="30">
        <f>K36/K28</f>
        <v>0.005140493119602531</v>
      </c>
      <c r="L62" s="30">
        <f>L36/L27</f>
        <v>0.002697083308978866</v>
      </c>
    </row>
    <row r="63" spans="1:10" ht="11.25">
      <c r="A63" s="9" t="s">
        <v>56</v>
      </c>
      <c r="G63" s="21"/>
      <c r="H63" s="22"/>
      <c r="I63" s="22"/>
      <c r="J63" s="23"/>
    </row>
    <row r="64" spans="1:12" ht="11.25">
      <c r="A64" s="1" t="s">
        <v>57</v>
      </c>
      <c r="C64" s="1">
        <v>41</v>
      </c>
      <c r="D64" s="14">
        <v>41</v>
      </c>
      <c r="E64" s="14">
        <v>39</v>
      </c>
      <c r="F64" s="14">
        <v>40</v>
      </c>
      <c r="G64" s="15">
        <v>40</v>
      </c>
      <c r="H64" s="16">
        <v>40</v>
      </c>
      <c r="I64" s="16">
        <v>39</v>
      </c>
      <c r="J64" s="17">
        <v>39</v>
      </c>
      <c r="K64" s="14">
        <v>39</v>
      </c>
      <c r="L64" s="14">
        <v>34</v>
      </c>
    </row>
    <row r="65" spans="1:12" ht="11.25">
      <c r="A65" s="1" t="s">
        <v>58</v>
      </c>
      <c r="C65" s="1">
        <v>1</v>
      </c>
      <c r="D65" s="14">
        <v>1</v>
      </c>
      <c r="E65" s="14">
        <v>1</v>
      </c>
      <c r="F65" s="14">
        <v>1</v>
      </c>
      <c r="G65" s="15">
        <v>1</v>
      </c>
      <c r="H65" s="16">
        <v>1</v>
      </c>
      <c r="I65" s="16">
        <v>1</v>
      </c>
      <c r="J65" s="17">
        <v>1</v>
      </c>
      <c r="K65" s="14">
        <v>1</v>
      </c>
      <c r="L65" s="14">
        <v>1</v>
      </c>
    </row>
    <row r="66" spans="1:12" ht="11.25">
      <c r="A66" s="1" t="s">
        <v>59</v>
      </c>
      <c r="C66" s="14">
        <f aca="true" t="shared" si="16" ref="C66:L66">C13/C64</f>
        <v>9478.707317073171</v>
      </c>
      <c r="D66" s="14">
        <f t="shared" si="16"/>
        <v>9112.292682926829</v>
      </c>
      <c r="E66" s="14">
        <f t="shared" si="16"/>
        <v>8714.74358974359</v>
      </c>
      <c r="F66" s="14">
        <f t="shared" si="16"/>
        <v>7991.7</v>
      </c>
      <c r="G66" s="15">
        <f t="shared" si="16"/>
        <v>7624.15</v>
      </c>
      <c r="H66" s="16">
        <f t="shared" si="16"/>
        <v>7021.975</v>
      </c>
      <c r="I66" s="16">
        <f t="shared" si="16"/>
        <v>6669.74358974359</v>
      </c>
      <c r="J66" s="17">
        <f t="shared" si="16"/>
        <v>6883.846153846154</v>
      </c>
      <c r="K66" s="14">
        <f t="shared" si="16"/>
        <v>6368.589743589743</v>
      </c>
      <c r="L66" s="14">
        <f t="shared" si="16"/>
        <v>6229.735294117647</v>
      </c>
    </row>
    <row r="67" spans="1:12" ht="11.25">
      <c r="A67" s="1" t="s">
        <v>60</v>
      </c>
      <c r="C67" s="14">
        <f aca="true" t="shared" si="17" ref="C67:L67">C17/C64</f>
        <v>9777.341463414634</v>
      </c>
      <c r="D67" s="14">
        <f t="shared" si="17"/>
        <v>8949.317073170732</v>
      </c>
      <c r="E67" s="14">
        <f t="shared" si="17"/>
        <v>8465.897435897436</v>
      </c>
      <c r="F67" s="14">
        <f t="shared" si="17"/>
        <v>7665.775</v>
      </c>
      <c r="G67" s="15">
        <f t="shared" si="17"/>
        <v>7378.975</v>
      </c>
      <c r="H67" s="16">
        <f t="shared" si="17"/>
        <v>6710.25</v>
      </c>
      <c r="I67" s="16">
        <f t="shared" si="17"/>
        <v>6457.974358974359</v>
      </c>
      <c r="J67" s="17">
        <f t="shared" si="17"/>
        <v>6608.25641025641</v>
      </c>
      <c r="K67" s="14">
        <f t="shared" si="17"/>
        <v>6278.871794871795</v>
      </c>
      <c r="L67" s="14">
        <f t="shared" si="17"/>
        <v>5883.911764705882</v>
      </c>
    </row>
    <row r="68" spans="1:12" ht="11.25">
      <c r="A68" s="2" t="s">
        <v>61</v>
      </c>
      <c r="B68" s="2"/>
      <c r="C68" s="18">
        <f aca="true" t="shared" si="18" ref="C68:L68">(C40/C64)</f>
        <v>85</v>
      </c>
      <c r="D68" s="18">
        <f t="shared" si="18"/>
        <v>121.2439024390244</v>
      </c>
      <c r="E68" s="18">
        <f t="shared" si="18"/>
        <v>70.35897435897436</v>
      </c>
      <c r="F68" s="18">
        <f t="shared" si="18"/>
        <v>35.55</v>
      </c>
      <c r="G68" s="19">
        <f t="shared" si="18"/>
        <v>68.45</v>
      </c>
      <c r="H68" s="18">
        <f t="shared" si="18"/>
        <v>120.475</v>
      </c>
      <c r="I68" s="18">
        <f t="shared" si="18"/>
        <v>86.94871794871794</v>
      </c>
      <c r="J68" s="20">
        <f t="shared" si="18"/>
        <v>52.69230769230769</v>
      </c>
      <c r="K68" s="18">
        <f t="shared" si="18"/>
        <v>126.53846153846153</v>
      </c>
      <c r="L68" s="18">
        <f t="shared" si="18"/>
        <v>106.52941176470588</v>
      </c>
    </row>
    <row r="69" spans="1:10" ht="11.25">
      <c r="A69" s="9" t="s">
        <v>62</v>
      </c>
      <c r="G69" s="21"/>
      <c r="H69" s="22"/>
      <c r="I69" s="22"/>
      <c r="J69" s="23"/>
    </row>
    <row r="70" spans="1:12" ht="11.25">
      <c r="A70" s="1" t="s">
        <v>63</v>
      </c>
      <c r="C70" s="26">
        <f>(C11/G11)-1</f>
        <v>0.3115603478935627</v>
      </c>
      <c r="D70" s="26">
        <f>(D11/H11)-1</f>
        <v>0.36335616336861065</v>
      </c>
      <c r="E70" s="26">
        <f>(E11/I11)-1</f>
        <v>0.3230432166096213</v>
      </c>
      <c r="F70" s="26">
        <f>(F11/J11)-1</f>
        <v>0.1848736099582482</v>
      </c>
      <c r="G70" s="27">
        <f>(G11/K11)-1</f>
        <v>0.1847316743063625</v>
      </c>
      <c r="H70" s="28">
        <f>(H11/307175)-1</f>
        <v>0.09846504435582326</v>
      </c>
      <c r="I70" s="28">
        <f>(I11/294824)-1</f>
        <v>0.08215070686239923</v>
      </c>
      <c r="J70" s="29">
        <f>(J11/298124)-1</f>
        <v>0.07895707826273624</v>
      </c>
      <c r="K70" s="26">
        <f>(K11/L11)-1</f>
        <v>0.194019156080512</v>
      </c>
      <c r="L70" s="26">
        <f>(L11/216665)-1</f>
        <v>0.2109523919414764</v>
      </c>
    </row>
    <row r="71" spans="1:12" ht="11.25">
      <c r="A71" s="1" t="s">
        <v>64</v>
      </c>
      <c r="C71" s="26">
        <f aca="true" t="shared" si="19" ref="C71:E73">(C13/G13)-1</f>
        <v>0.274328941586931</v>
      </c>
      <c r="D71" s="26">
        <f t="shared" si="19"/>
        <v>0.3301243595996852</v>
      </c>
      <c r="E71" s="26">
        <f t="shared" si="19"/>
        <v>0.3066084883899738</v>
      </c>
      <c r="F71" s="26">
        <f>F13/J13-1</f>
        <v>0.19070287182925472</v>
      </c>
      <c r="G71" s="27">
        <f>SUM(G72:G73)</f>
        <v>0.6402383269842571</v>
      </c>
      <c r="H71" s="28">
        <f>H13/250885-1</f>
        <v>0.11955278314765727</v>
      </c>
      <c r="I71" s="28">
        <f>I13/240288-1</f>
        <v>0.08253429218271413</v>
      </c>
      <c r="J71" s="29">
        <f>J13/243692-1</f>
        <v>0.10167752737061542</v>
      </c>
      <c r="K71" s="26">
        <f>(K13/L13)-1</f>
        <v>0.17262559546010348</v>
      </c>
      <c r="L71" s="26">
        <f>L13/169408-1</f>
        <v>0.25030104835663014</v>
      </c>
    </row>
    <row r="72" spans="2:12" ht="11.25">
      <c r="B72" s="1" t="s">
        <v>15</v>
      </c>
      <c r="C72" s="26">
        <f t="shared" si="19"/>
        <v>0.28827651499826024</v>
      </c>
      <c r="D72" s="26">
        <f t="shared" si="19"/>
        <v>0.24199827335369073</v>
      </c>
      <c r="E72" s="26">
        <f t="shared" si="19"/>
        <v>0.2851106117836397</v>
      </c>
      <c r="F72" s="26">
        <f>(F14/J14)-1</f>
        <v>0.16848268368751906</v>
      </c>
      <c r="G72" s="27">
        <f>(G14/K14)-1</f>
        <v>0.18447485958556165</v>
      </c>
      <c r="H72" s="28">
        <f>(H14/210288)-1</f>
        <v>0.1897778285018641</v>
      </c>
      <c r="I72" s="28">
        <f>(I14/199657)-1</f>
        <v>0.13903845094336797</v>
      </c>
      <c r="J72" s="29">
        <f>(J14/197092)-1</f>
        <v>0.15341566375093874</v>
      </c>
      <c r="K72" s="26">
        <f>(K14/L14)-1</f>
        <v>0.206354712268896</v>
      </c>
      <c r="L72" s="26">
        <f>(L14/135174)-1</f>
        <v>0.27963957565804076</v>
      </c>
    </row>
    <row r="73" spans="2:12" ht="11.25">
      <c r="B73" s="1" t="s">
        <v>16</v>
      </c>
      <c r="C73" s="26">
        <f t="shared" si="19"/>
        <v>0.21469102484257152</v>
      </c>
      <c r="D73" s="26">
        <f t="shared" si="19"/>
        <v>1.0487240491477365</v>
      </c>
      <c r="E73" s="26">
        <f t="shared" si="19"/>
        <v>0.45610494450050454</v>
      </c>
      <c r="F73" s="26">
        <f>(F15/J15)-1</f>
        <v>0.31348290026980385</v>
      </c>
      <c r="G73" s="27">
        <f>(G15/K15)-1</f>
        <v>0.45576346739869544</v>
      </c>
      <c r="H73" s="28">
        <f>(H15/40597)-1</f>
        <v>-0.2442052368401606</v>
      </c>
      <c r="I73" s="28">
        <f>(I15/40630)-1</f>
        <v>-0.19510214127491998</v>
      </c>
      <c r="J73" s="29">
        <f>(J15/46599)-1</f>
        <v>-0.11712697697375485</v>
      </c>
      <c r="K73" s="26">
        <f>(K15/L15)-1</f>
        <v>0.02240131833045811</v>
      </c>
      <c r="L73" s="26">
        <f>(L15/34235)-1</f>
        <v>0.13442383525631674</v>
      </c>
    </row>
    <row r="74" spans="1:12" ht="11.25">
      <c r="A74" s="1" t="s">
        <v>65</v>
      </c>
      <c r="C74" s="26">
        <f aca="true" t="shared" si="20" ref="C74:G75">(C17/G17)-1</f>
        <v>0.35815272446376367</v>
      </c>
      <c r="D74" s="26">
        <f t="shared" si="20"/>
        <v>0.3670206028091352</v>
      </c>
      <c r="E74" s="26">
        <f t="shared" si="20"/>
        <v>0.31092150035138433</v>
      </c>
      <c r="F74" s="26">
        <f t="shared" si="20"/>
        <v>0.18977425287713112</v>
      </c>
      <c r="G74" s="27">
        <f t="shared" si="20"/>
        <v>0.20534066221271163</v>
      </c>
      <c r="H74" s="28">
        <f>H17/236755-1</f>
        <v>0.13370361766382977</v>
      </c>
      <c r="I74" s="28">
        <f>I17/235936-1</f>
        <v>0.06749711786247126</v>
      </c>
      <c r="J74" s="29">
        <f>J17/250991-1</f>
        <v>0.026817694658374247</v>
      </c>
      <c r="K74" s="26">
        <f>(K17/L17)-1</f>
        <v>0.22405562525930622</v>
      </c>
      <c r="L74" s="26">
        <f>L17/171219-1</f>
        <v>0.16840420747697404</v>
      </c>
    </row>
    <row r="75" spans="2:12" ht="11.25">
      <c r="B75" s="1" t="s">
        <v>15</v>
      </c>
      <c r="C75" s="26">
        <f t="shared" si="20"/>
        <v>0.3296699103224576</v>
      </c>
      <c r="D75" s="26">
        <f t="shared" si="20"/>
        <v>0.15791077755343053</v>
      </c>
      <c r="E75" s="26">
        <f t="shared" si="20"/>
        <v>0.6677486149196934</v>
      </c>
      <c r="F75" s="26">
        <f t="shared" si="20"/>
        <v>0.24228866196441734</v>
      </c>
      <c r="G75" s="27">
        <f t="shared" si="20"/>
        <v>0.2245327102803738</v>
      </c>
      <c r="H75" s="28">
        <f>(H18/23727)-1</f>
        <v>0.10629240949129692</v>
      </c>
      <c r="I75" s="28">
        <f>(I18/24145)-1</f>
        <v>-0.2599295920480431</v>
      </c>
      <c r="J75" s="29">
        <f>(J18/28061)-1</f>
        <v>-0.3229749474359431</v>
      </c>
      <c r="K75" s="26">
        <f>(K18/L18)-1</f>
        <v>0.04984301412872849</v>
      </c>
      <c r="L75" s="26">
        <f>(L18/17909)-1</f>
        <v>0.138198671059244</v>
      </c>
    </row>
    <row r="76" spans="2:12" ht="11.25">
      <c r="B76" s="1" t="s">
        <v>16</v>
      </c>
      <c r="C76" s="26">
        <f>(C22/G22)-1</f>
        <v>0.36092789101482037</v>
      </c>
      <c r="D76" s="26">
        <f>(D22/H22)-1</f>
        <v>0.3896870263997918</v>
      </c>
      <c r="E76" s="26">
        <f>(E22/I22)-1</f>
        <v>0.28367209135355065</v>
      </c>
      <c r="F76" s="26">
        <f>(F22/J22)-1</f>
        <v>0.1855950805113855</v>
      </c>
      <c r="G76" s="27">
        <f>(G22/K22)-1</f>
        <v>0.20350283699368155</v>
      </c>
      <c r="H76" s="28">
        <f>(H22/213028)-1</f>
        <v>0.13675667048463103</v>
      </c>
      <c r="I76" s="28">
        <f>(I22/211791)-1</f>
        <v>0.10482503977978297</v>
      </c>
      <c r="J76" s="29">
        <f>(J22/222930)-1</f>
        <v>0.07084735118647112</v>
      </c>
      <c r="K76" s="26">
        <f>(K22/L22)-1</f>
        <v>0.24382058117983618</v>
      </c>
      <c r="L76" s="26">
        <f>(L22/153310)-1</f>
        <v>0.17193268540864914</v>
      </c>
    </row>
    <row r="77" spans="1:12" ht="11.25">
      <c r="A77" s="1" t="s">
        <v>66</v>
      </c>
      <c r="C77" s="26">
        <f>(C25/G25)-1</f>
        <v>0</v>
      </c>
      <c r="D77" s="26">
        <f>(D25/H25)-1</f>
        <v>0</v>
      </c>
      <c r="E77" s="26">
        <f>(E25/I25)-1</f>
        <v>0</v>
      </c>
      <c r="F77" s="26">
        <f>(F25/J25)-1</f>
        <v>0</v>
      </c>
      <c r="G77" s="27">
        <f>(G25/K25)-1</f>
        <v>0</v>
      </c>
      <c r="H77" s="28">
        <f>(H25/10000)-1</f>
        <v>0</v>
      </c>
      <c r="I77" s="28">
        <f>(I25/10000)-1</f>
        <v>0</v>
      </c>
      <c r="J77" s="29">
        <f>(J25/10000)-1</f>
        <v>0</v>
      </c>
      <c r="K77" s="26">
        <f>(K25/L25)-1</f>
        <v>0</v>
      </c>
      <c r="L77" s="26">
        <f>(L25/7000)-1</f>
        <v>0.4285714285714286</v>
      </c>
    </row>
    <row r="78" spans="1:12" ht="11.25">
      <c r="A78" s="2" t="s">
        <v>67</v>
      </c>
      <c r="B78" s="2"/>
      <c r="C78" s="30">
        <f>(C40/G40)-1</f>
        <v>0.27282688093498897</v>
      </c>
      <c r="D78" s="30">
        <f>(D40/H40)-1</f>
        <v>0.0315418136542851</v>
      </c>
      <c r="E78" s="30">
        <f>(E40/I40)-1</f>
        <v>-0.1907991742848717</v>
      </c>
      <c r="F78" s="30">
        <f>(F40/J40)-1</f>
        <v>-0.30802919708029197</v>
      </c>
      <c r="G78" s="31">
        <f>(G40/K40)-1</f>
        <v>-0.4451874366767984</v>
      </c>
      <c r="H78" s="30">
        <f>(H40/4397)-1</f>
        <v>0.09597452808733231</v>
      </c>
      <c r="I78" s="30">
        <f>(I40/2333)-1</f>
        <v>0.453493356193742</v>
      </c>
      <c r="J78" s="32">
        <f>(J40/1262)-1</f>
        <v>0.6283676703645007</v>
      </c>
      <c r="K78" s="30">
        <f>(K40/L40)-1</f>
        <v>0.36250690226394267</v>
      </c>
      <c r="L78" s="30">
        <f>(L40/3622)-1</f>
        <v>0</v>
      </c>
    </row>
  </sheetData>
  <sheetProtection password="CD66" sheet="1" objects="1" scenarios="1"/>
  <mergeCells count="7">
    <mergeCell ref="K8:L8"/>
    <mergeCell ref="C8:F8"/>
    <mergeCell ref="C4:I4"/>
    <mergeCell ref="C3:I3"/>
    <mergeCell ref="C2:I2"/>
    <mergeCell ref="C5:I5"/>
    <mergeCell ref="G8:J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5106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2002-03-19T20:39:12Z</dcterms:created>
  <dcterms:modified xsi:type="dcterms:W3CDTF">2002-07-12T14:07:39Z</dcterms:modified>
  <cp:category/>
  <cp:version/>
  <cp:contentType/>
  <cp:contentStatus/>
</cp:coreProperties>
</file>