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Kore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<sst xmlns="http://schemas.openxmlformats.org/spreadsheetml/2006/main" count="84" uniqueCount="68">
  <si>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18-38</t>
  </si>
  <si>
    <t>KOREA EXCHANGE BANK, LTD.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</si>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</sst>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0" xfId="15" applyNumberFormat="1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4" xfId="15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3.421875" style="1" customWidth="1"/>
    <col min="2" max="2" width="39.7109375" style="1" customWidth="1"/>
    <col min="3" max="3" width="7.7109375" style="1" bestFit="1" customWidth="1"/>
    <col min="4" max="4" width="8.7109375" style="1" bestFit="1" customWidth="1"/>
    <col min="5" max="5" width="8.00390625" style="1" bestFit="1" customWidth="1"/>
    <col min="6" max="6" width="7.7109375" style="1" bestFit="1" customWidth="1"/>
    <col min="7" max="7" width="8.00390625" style="1" bestFit="1" customWidth="1"/>
    <col min="8" max="9" width="8.8515625" style="1" bestFit="1" customWidth="1"/>
    <col min="10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5"/>
      <c r="C2" s="48" t="s">
        <v>0</v>
      </c>
      <c r="D2" s="48"/>
      <c r="E2" s="48"/>
      <c r="F2" s="48"/>
      <c r="G2" s="48"/>
      <c r="H2" s="48"/>
      <c r="I2" s="48"/>
      <c r="J2" s="45"/>
      <c r="K2" s="45"/>
      <c r="L2" s="45"/>
    </row>
    <row r="3" spans="2:12" ht="12.75" customHeight="1">
      <c r="B3" s="45"/>
      <c r="C3" s="48" t="s">
        <v>1</v>
      </c>
      <c r="D3" s="48"/>
      <c r="E3" s="48"/>
      <c r="F3" s="48"/>
      <c r="G3" s="48"/>
      <c r="H3" s="48"/>
      <c r="I3" s="48"/>
      <c r="J3" s="45"/>
      <c r="K3" s="45"/>
      <c r="L3" s="45"/>
    </row>
    <row r="4" spans="2:12" ht="12.75" customHeight="1">
      <c r="B4" s="45"/>
      <c r="C4" s="48" t="s">
        <v>2</v>
      </c>
      <c r="D4" s="48"/>
      <c r="E4" s="48"/>
      <c r="F4" s="48"/>
      <c r="G4" s="48"/>
      <c r="H4" s="48"/>
      <c r="I4" s="48"/>
      <c r="J4" s="45"/>
      <c r="K4" s="45"/>
      <c r="L4" s="45"/>
    </row>
    <row r="5" spans="2:12" ht="12.75" customHeight="1">
      <c r="B5" s="44"/>
      <c r="C5" s="49" t="s">
        <v>3</v>
      </c>
      <c r="D5" s="49"/>
      <c r="E5" s="49"/>
      <c r="F5" s="49"/>
      <c r="G5" s="49"/>
      <c r="H5" s="49"/>
      <c r="I5" s="49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1">
        <v>2001</v>
      </c>
      <c r="D8" s="51"/>
      <c r="E8" s="51"/>
      <c r="F8" s="52"/>
      <c r="G8" s="50">
        <v>2000</v>
      </c>
      <c r="H8" s="51"/>
      <c r="I8" s="51"/>
      <c r="J8" s="52"/>
      <c r="K8" s="51" t="s">
        <v>4</v>
      </c>
      <c r="L8" s="51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132719</v>
      </c>
      <c r="D11" s="14">
        <v>142642</v>
      </c>
      <c r="E11" s="14">
        <v>153896</v>
      </c>
      <c r="F11" s="14">
        <v>148090</v>
      </c>
      <c r="G11" s="15">
        <v>144926</v>
      </c>
      <c r="H11" s="16">
        <v>152353</v>
      </c>
      <c r="I11" s="16">
        <v>158905</v>
      </c>
      <c r="J11" s="17">
        <v>203264</v>
      </c>
      <c r="K11" s="14">
        <v>184784</v>
      </c>
      <c r="L11" s="14">
        <v>117421</v>
      </c>
    </row>
    <row r="12" spans="1:12" ht="11.25">
      <c r="A12" s="1" t="s">
        <v>13</v>
      </c>
      <c r="C12" s="14">
        <v>10123</v>
      </c>
      <c r="D12" s="14">
        <v>3369</v>
      </c>
      <c r="E12" s="14">
        <v>8650</v>
      </c>
      <c r="F12" s="14">
        <v>3159</v>
      </c>
      <c r="G12" s="15">
        <v>3708</v>
      </c>
      <c r="H12" s="16">
        <v>2727</v>
      </c>
      <c r="I12" s="16">
        <v>3580</v>
      </c>
      <c r="J12" s="17">
        <v>3931</v>
      </c>
      <c r="K12" s="14">
        <v>2213</v>
      </c>
      <c r="L12" s="14">
        <v>1043</v>
      </c>
    </row>
    <row r="13" spans="1:12" ht="11.25">
      <c r="A13" s="1" t="s">
        <v>14</v>
      </c>
      <c r="C13" s="14">
        <f aca="true" t="shared" si="0" ref="C13:L13">C14+C15</f>
        <v>115056</v>
      </c>
      <c r="D13" s="14">
        <f t="shared" si="0"/>
        <v>131252</v>
      </c>
      <c r="E13" s="14">
        <f t="shared" si="0"/>
        <v>137261</v>
      </c>
      <c r="F13" s="14">
        <f t="shared" si="0"/>
        <v>136777</v>
      </c>
      <c r="G13" s="15">
        <f t="shared" si="0"/>
        <v>132687</v>
      </c>
      <c r="H13" s="16">
        <f t="shared" si="0"/>
        <v>140193</v>
      </c>
      <c r="I13" s="16">
        <f t="shared" si="0"/>
        <v>136181</v>
      </c>
      <c r="J13" s="17">
        <f t="shared" si="0"/>
        <v>187617</v>
      </c>
      <c r="K13" s="14">
        <f t="shared" si="0"/>
        <v>172583</v>
      </c>
      <c r="L13" s="14">
        <f t="shared" si="0"/>
        <v>106715</v>
      </c>
    </row>
    <row r="14" spans="2:12" ht="11.25">
      <c r="B14" s="1" t="s">
        <v>15</v>
      </c>
      <c r="C14" s="14">
        <v>21278</v>
      </c>
      <c r="D14" s="14">
        <v>17948</v>
      </c>
      <c r="E14" s="14">
        <v>22869</v>
      </c>
      <c r="F14" s="14">
        <v>20258</v>
      </c>
      <c r="G14" s="15">
        <v>19364</v>
      </c>
      <c r="H14" s="16">
        <v>22052</v>
      </c>
      <c r="I14" s="16">
        <v>18288</v>
      </c>
      <c r="J14" s="17">
        <v>11528</v>
      </c>
      <c r="K14" s="14">
        <v>21681</v>
      </c>
      <c r="L14" s="14">
        <v>22157</v>
      </c>
    </row>
    <row r="15" spans="2:12" ht="11.25">
      <c r="B15" s="1" t="s">
        <v>16</v>
      </c>
      <c r="C15" s="14">
        <v>93778</v>
      </c>
      <c r="D15" s="14">
        <v>113304</v>
      </c>
      <c r="E15" s="14">
        <v>114392</v>
      </c>
      <c r="F15" s="14">
        <v>116519</v>
      </c>
      <c r="G15" s="15">
        <v>113323</v>
      </c>
      <c r="H15" s="16">
        <v>118141</v>
      </c>
      <c r="I15" s="16">
        <v>117893</v>
      </c>
      <c r="J15" s="17">
        <v>176089</v>
      </c>
      <c r="K15" s="14">
        <v>150902</v>
      </c>
      <c r="L15" s="14">
        <v>84558</v>
      </c>
    </row>
    <row r="16" spans="1:12" ht="11.25">
      <c r="A16" s="1" t="s">
        <v>17</v>
      </c>
      <c r="C16" s="14">
        <v>6105</v>
      </c>
      <c r="D16" s="14">
        <v>6181</v>
      </c>
      <c r="E16" s="14">
        <v>6181</v>
      </c>
      <c r="F16" s="14">
        <v>6359</v>
      </c>
      <c r="G16" s="15">
        <v>6359</v>
      </c>
      <c r="H16" s="16">
        <v>6403</v>
      </c>
      <c r="I16" s="16">
        <v>6505</v>
      </c>
      <c r="J16" s="17">
        <v>6512</v>
      </c>
      <c r="K16" s="14">
        <v>7588</v>
      </c>
      <c r="L16" s="14">
        <v>7810</v>
      </c>
    </row>
    <row r="17" spans="1:12" ht="11.25">
      <c r="A17" s="1" t="s">
        <v>18</v>
      </c>
      <c r="C17" s="14">
        <f aca="true" t="shared" si="1" ref="C17:L17">C18+C22</f>
        <v>109931</v>
      </c>
      <c r="D17" s="14">
        <f t="shared" si="1"/>
        <v>108887</v>
      </c>
      <c r="E17" s="14">
        <f t="shared" si="1"/>
        <v>124480</v>
      </c>
      <c r="F17" s="14">
        <f t="shared" si="1"/>
        <v>120144</v>
      </c>
      <c r="G17" s="15">
        <f t="shared" si="1"/>
        <v>130121</v>
      </c>
      <c r="H17" s="16">
        <f t="shared" si="1"/>
        <v>135224</v>
      </c>
      <c r="I17" s="16">
        <f t="shared" si="1"/>
        <v>137049</v>
      </c>
      <c r="J17" s="17">
        <f t="shared" si="1"/>
        <v>147315</v>
      </c>
      <c r="K17" s="14">
        <f t="shared" si="1"/>
        <v>94755</v>
      </c>
      <c r="L17" s="14">
        <f t="shared" si="1"/>
        <v>101797</v>
      </c>
    </row>
    <row r="18" spans="2:12" ht="11.25">
      <c r="B18" s="1" t="s">
        <v>15</v>
      </c>
      <c r="C18" s="14">
        <f aca="true" t="shared" si="2" ref="C18:L18">SUM(C19:C21)</f>
        <v>16299</v>
      </c>
      <c r="D18" s="14">
        <f t="shared" si="2"/>
        <v>10630</v>
      </c>
      <c r="E18" s="14">
        <f t="shared" si="2"/>
        <v>8444</v>
      </c>
      <c r="F18" s="14">
        <f t="shared" si="2"/>
        <v>12379</v>
      </c>
      <c r="G18" s="15">
        <f t="shared" si="2"/>
        <v>9205</v>
      </c>
      <c r="H18" s="16">
        <f t="shared" si="2"/>
        <v>9717</v>
      </c>
      <c r="I18" s="16">
        <f t="shared" si="2"/>
        <v>6714</v>
      </c>
      <c r="J18" s="17">
        <f t="shared" si="2"/>
        <v>8874</v>
      </c>
      <c r="K18" s="14">
        <f t="shared" si="2"/>
        <v>7649</v>
      </c>
      <c r="L18" s="14">
        <f t="shared" si="2"/>
        <v>7723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12955+1344</f>
        <v>14299</v>
      </c>
      <c r="D20" s="14">
        <v>7617</v>
      </c>
      <c r="E20" s="14">
        <v>7444</v>
      </c>
      <c r="F20" s="14">
        <v>12379</v>
      </c>
      <c r="G20" s="15">
        <v>9205</v>
      </c>
      <c r="H20" s="16">
        <v>9717</v>
      </c>
      <c r="I20" s="16">
        <v>6714</v>
      </c>
      <c r="J20" s="17">
        <v>8874</v>
      </c>
      <c r="K20" s="14">
        <v>7649</v>
      </c>
      <c r="L20" s="14">
        <v>7723</v>
      </c>
    </row>
    <row r="21" spans="2:12" ht="11.25">
      <c r="B21" s="1" t="s">
        <v>21</v>
      </c>
      <c r="C21" s="14">
        <v>2000</v>
      </c>
      <c r="D21" s="14">
        <v>3013</v>
      </c>
      <c r="E21" s="14">
        <v>1000</v>
      </c>
      <c r="F21" s="14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93632</v>
      </c>
      <c r="D22" s="14">
        <f t="shared" si="3"/>
        <v>98257</v>
      </c>
      <c r="E22" s="14">
        <f t="shared" si="3"/>
        <v>116036</v>
      </c>
      <c r="F22" s="14">
        <f t="shared" si="3"/>
        <v>107765</v>
      </c>
      <c r="G22" s="15">
        <f t="shared" si="3"/>
        <v>120916</v>
      </c>
      <c r="H22" s="16">
        <f t="shared" si="3"/>
        <v>125507</v>
      </c>
      <c r="I22" s="16">
        <f t="shared" si="3"/>
        <v>130335</v>
      </c>
      <c r="J22" s="17">
        <f t="shared" si="3"/>
        <v>138441</v>
      </c>
      <c r="K22" s="14">
        <f t="shared" si="3"/>
        <v>87106</v>
      </c>
      <c r="L22" s="14">
        <f t="shared" si="3"/>
        <v>94074</v>
      </c>
    </row>
    <row r="23" spans="2:12" ht="11.25">
      <c r="B23" s="1" t="s">
        <v>20</v>
      </c>
      <c r="C23" s="14">
        <f>6445+3251</f>
        <v>9696</v>
      </c>
      <c r="D23" s="14">
        <v>9257</v>
      </c>
      <c r="E23" s="14">
        <v>8136</v>
      </c>
      <c r="F23" s="14">
        <v>16865</v>
      </c>
      <c r="G23" s="15">
        <v>11916</v>
      </c>
      <c r="H23" s="16">
        <v>18407</v>
      </c>
      <c r="I23" s="16">
        <v>5635</v>
      </c>
      <c r="J23" s="17">
        <v>6041</v>
      </c>
      <c r="K23" s="14">
        <v>9706</v>
      </c>
      <c r="L23" s="14">
        <v>1774</v>
      </c>
    </row>
    <row r="24" spans="2:12" ht="11.25">
      <c r="B24" s="1" t="s">
        <v>21</v>
      </c>
      <c r="C24" s="14">
        <f>36+83900</f>
        <v>83936</v>
      </c>
      <c r="D24" s="14">
        <v>89000</v>
      </c>
      <c r="E24" s="14">
        <v>107900</v>
      </c>
      <c r="F24" s="14">
        <v>90900</v>
      </c>
      <c r="G24" s="15">
        <v>109000</v>
      </c>
      <c r="H24" s="16">
        <v>107100</v>
      </c>
      <c r="I24" s="16">
        <v>124700</v>
      </c>
      <c r="J24" s="17">
        <v>132400</v>
      </c>
      <c r="K24" s="14">
        <v>77400</v>
      </c>
      <c r="L24" s="14">
        <v>92300</v>
      </c>
    </row>
    <row r="25" spans="1:12" ht="11.25">
      <c r="A25" s="2" t="s">
        <v>22</v>
      </c>
      <c r="B25" s="2"/>
      <c r="C25" s="18">
        <v>14513</v>
      </c>
      <c r="D25" s="18">
        <v>14929</v>
      </c>
      <c r="E25" s="18">
        <v>13616</v>
      </c>
      <c r="F25" s="18">
        <v>11912</v>
      </c>
      <c r="G25" s="46">
        <v>-2494</v>
      </c>
      <c r="H25" s="18">
        <v>1356</v>
      </c>
      <c r="I25" s="18">
        <v>200</v>
      </c>
      <c r="J25" s="20">
        <v>10722</v>
      </c>
      <c r="K25" s="18">
        <v>8801</v>
      </c>
      <c r="L25" s="18">
        <v>12297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138822.5</v>
      </c>
      <c r="D27" s="14">
        <f>(D11+H11)/2</f>
        <v>147497.5</v>
      </c>
      <c r="E27" s="14">
        <f>(E11+I11)/2</f>
        <v>156400.5</v>
      </c>
      <c r="F27" s="14">
        <f>(F11+J11)/2</f>
        <v>175677</v>
      </c>
      <c r="G27" s="15">
        <f>(G11+K11)/2</f>
        <v>164855</v>
      </c>
      <c r="H27" s="16">
        <f>(H11+184147)/2</f>
        <v>168250</v>
      </c>
      <c r="I27" s="16">
        <f>(I11+180200)/2</f>
        <v>169552.5</v>
      </c>
      <c r="J27" s="17">
        <f>(J11+213714)/2</f>
        <v>208489</v>
      </c>
      <c r="K27" s="14">
        <f>(K11+L11)/2</f>
        <v>151102.5</v>
      </c>
      <c r="L27" s="14">
        <f>(L11+136165)/2</f>
        <v>126793</v>
      </c>
    </row>
    <row r="28" spans="1:12" ht="11.25">
      <c r="A28" s="1" t="s">
        <v>24</v>
      </c>
      <c r="C28" s="14">
        <f aca="true" t="shared" si="4" ref="C28:L28">C29+C30</f>
        <v>130103.5</v>
      </c>
      <c r="D28" s="14">
        <f t="shared" si="4"/>
        <v>142014.5</v>
      </c>
      <c r="E28" s="14">
        <f t="shared" si="4"/>
        <v>143064</v>
      </c>
      <c r="F28" s="14">
        <f t="shared" si="4"/>
        <v>168632.5</v>
      </c>
      <c r="G28" s="15">
        <f t="shared" si="4"/>
        <v>159608.5</v>
      </c>
      <c r="H28" s="16">
        <f t="shared" si="4"/>
        <v>163194</v>
      </c>
      <c r="I28" s="16">
        <f t="shared" si="4"/>
        <v>158818</v>
      </c>
      <c r="J28" s="17">
        <f t="shared" si="4"/>
        <v>200461.5</v>
      </c>
      <c r="K28" s="14">
        <f t="shared" si="4"/>
        <v>147348</v>
      </c>
      <c r="L28" s="14">
        <f t="shared" si="4"/>
        <v>122853</v>
      </c>
    </row>
    <row r="29" spans="2:12" ht="11.25">
      <c r="B29" s="1" t="s">
        <v>14</v>
      </c>
      <c r="C29" s="14">
        <f>(C13+G13)/2</f>
        <v>123871.5</v>
      </c>
      <c r="D29" s="14">
        <f>(D13+H13)/2</f>
        <v>135722.5</v>
      </c>
      <c r="E29" s="14">
        <f>(E13+I13)/2</f>
        <v>136721</v>
      </c>
      <c r="F29" s="14">
        <f>(F13+J13)/2</f>
        <v>162197</v>
      </c>
      <c r="G29" s="15">
        <f>(G13+K13)/2</f>
        <v>152635</v>
      </c>
      <c r="H29" s="16">
        <f>(H13+172194)/2</f>
        <v>156193.5</v>
      </c>
      <c r="I29" s="16">
        <f>(I13+167251)/2</f>
        <v>151716</v>
      </c>
      <c r="J29" s="17">
        <f>(J13+199085)/2</f>
        <v>193351</v>
      </c>
      <c r="K29" s="14">
        <f>(K13+L13)/2</f>
        <v>139649</v>
      </c>
      <c r="L29" s="14">
        <f>(L13+122222)/2</f>
        <v>114468.5</v>
      </c>
    </row>
    <row r="30" spans="2:12" ht="11.25">
      <c r="B30" s="1" t="s">
        <v>17</v>
      </c>
      <c r="C30" s="14">
        <f>(C16+G16)/2</f>
        <v>6232</v>
      </c>
      <c r="D30" s="14">
        <f>(D16+H16)/2</f>
        <v>6292</v>
      </c>
      <c r="E30" s="14">
        <f>(E16+I16)/2</f>
        <v>6343</v>
      </c>
      <c r="F30" s="14">
        <f>(F16+J16)/2</f>
        <v>6435.5</v>
      </c>
      <c r="G30" s="15">
        <f>(G16+K16)/2</f>
        <v>6973.5</v>
      </c>
      <c r="H30" s="16">
        <f>(H16+7598)/2</f>
        <v>7000.5</v>
      </c>
      <c r="I30" s="16">
        <f>(I16+7699)/2</f>
        <v>7102</v>
      </c>
      <c r="J30" s="17">
        <f>(J16+7709)/2</f>
        <v>7110.5</v>
      </c>
      <c r="K30" s="14">
        <f>(K16+L16)/2</f>
        <v>7699</v>
      </c>
      <c r="L30" s="14">
        <f>(L16+8959)/2</f>
        <v>8384.5</v>
      </c>
    </row>
    <row r="31" spans="1:12" ht="11.25">
      <c r="A31" s="2" t="s">
        <v>22</v>
      </c>
      <c r="B31" s="2"/>
      <c r="C31" s="18">
        <f>(C25+G25)/2</f>
        <v>6009.5</v>
      </c>
      <c r="D31" s="18">
        <f>(D25+H25)/2</f>
        <v>8142.5</v>
      </c>
      <c r="E31" s="18">
        <f>(E25+I25)/2</f>
        <v>6908</v>
      </c>
      <c r="F31" s="18">
        <f>(F25+J25)/2</f>
        <v>11317</v>
      </c>
      <c r="G31" s="19">
        <f>(G25+K25)/2</f>
        <v>3153.5</v>
      </c>
      <c r="H31" s="18">
        <f>(H25+13449)/2</f>
        <v>7402.5</v>
      </c>
      <c r="I31" s="18">
        <f>(I25+11962)/2</f>
        <v>6081</v>
      </c>
      <c r="J31" s="20">
        <f>(J25+10682)/2</f>
        <v>10702</v>
      </c>
      <c r="K31" s="18">
        <f>(K25+L25)/2</f>
        <v>10549</v>
      </c>
      <c r="L31" s="18">
        <f>(L25+4722)/2</f>
        <v>8509.5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9812</v>
      </c>
      <c r="D33" s="14">
        <f>E33+2365</f>
        <v>7871</v>
      </c>
      <c r="E33" s="14">
        <f>F33+2449</f>
        <v>5506</v>
      </c>
      <c r="F33" s="14">
        <v>3057</v>
      </c>
      <c r="G33" s="15">
        <f>3492+H33</f>
        <v>13963</v>
      </c>
      <c r="H33" s="16">
        <f>3494+I33</f>
        <v>10471</v>
      </c>
      <c r="I33" s="16">
        <f>3438+J33</f>
        <v>6977</v>
      </c>
      <c r="J33" s="17">
        <v>3539</v>
      </c>
      <c r="K33" s="14">
        <v>15930</v>
      </c>
      <c r="L33" s="14">
        <v>14497</v>
      </c>
    </row>
    <row r="34" spans="1:12" ht="11.25">
      <c r="A34" s="1" t="s">
        <v>27</v>
      </c>
      <c r="C34" s="24">
        <v>5086</v>
      </c>
      <c r="D34" s="14">
        <f>E34+1208</f>
        <v>4362</v>
      </c>
      <c r="E34" s="14">
        <f>F34+1364</f>
        <v>3154</v>
      </c>
      <c r="F34" s="14">
        <v>1790</v>
      </c>
      <c r="G34" s="15">
        <f>2305+H34</f>
        <v>9917</v>
      </c>
      <c r="H34" s="16">
        <f>2356+I34</f>
        <v>7612</v>
      </c>
      <c r="I34" s="16">
        <f>2536+J34</f>
        <v>5256</v>
      </c>
      <c r="J34" s="17">
        <v>2720</v>
      </c>
      <c r="K34" s="14">
        <v>10303</v>
      </c>
      <c r="L34" s="14">
        <v>10800</v>
      </c>
    </row>
    <row r="35" spans="1:12" ht="11.25">
      <c r="A35" s="1" t="s">
        <v>28</v>
      </c>
      <c r="C35" s="14">
        <f aca="true" t="shared" si="5" ref="C35:L35">C33-C34</f>
        <v>4726</v>
      </c>
      <c r="D35" s="14">
        <f t="shared" si="5"/>
        <v>3509</v>
      </c>
      <c r="E35" s="14">
        <f t="shared" si="5"/>
        <v>2352</v>
      </c>
      <c r="F35" s="14">
        <f t="shared" si="5"/>
        <v>1267</v>
      </c>
      <c r="G35" s="15">
        <f t="shared" si="5"/>
        <v>4046</v>
      </c>
      <c r="H35" s="16">
        <f t="shared" si="5"/>
        <v>2859</v>
      </c>
      <c r="I35" s="16">
        <f t="shared" si="5"/>
        <v>1721</v>
      </c>
      <c r="J35" s="17">
        <f t="shared" si="5"/>
        <v>819</v>
      </c>
      <c r="K35" s="14">
        <f t="shared" si="5"/>
        <v>5627</v>
      </c>
      <c r="L35" s="14">
        <f t="shared" si="5"/>
        <v>3697</v>
      </c>
    </row>
    <row r="36" spans="1:12" ht="11.25">
      <c r="A36" s="1" t="s">
        <v>29</v>
      </c>
      <c r="C36" s="24">
        <v>1351</v>
      </c>
      <c r="D36" s="14">
        <f>E36+372</f>
        <v>2185</v>
      </c>
      <c r="E36" s="14">
        <f>F36+825</f>
        <v>1813</v>
      </c>
      <c r="F36" s="14">
        <v>988</v>
      </c>
      <c r="G36" s="15">
        <f>166+H36</f>
        <v>905</v>
      </c>
      <c r="H36" s="16">
        <f>290+I36</f>
        <v>739</v>
      </c>
      <c r="I36" s="16">
        <f>207+J36</f>
        <v>449</v>
      </c>
      <c r="J36" s="17">
        <v>242</v>
      </c>
      <c r="K36" s="14">
        <v>696</v>
      </c>
      <c r="L36" s="14">
        <v>1132</v>
      </c>
    </row>
    <row r="37" spans="1:12" ht="11.25">
      <c r="A37" s="1" t="s">
        <v>30</v>
      </c>
      <c r="C37" s="14">
        <f aca="true" t="shared" si="6" ref="C37:L37">C35+C36</f>
        <v>6077</v>
      </c>
      <c r="D37" s="14">
        <f t="shared" si="6"/>
        <v>5694</v>
      </c>
      <c r="E37" s="14">
        <f t="shared" si="6"/>
        <v>4165</v>
      </c>
      <c r="F37" s="14">
        <f t="shared" si="6"/>
        <v>2255</v>
      </c>
      <c r="G37" s="15">
        <f t="shared" si="6"/>
        <v>4951</v>
      </c>
      <c r="H37" s="16">
        <f t="shared" si="6"/>
        <v>3598</v>
      </c>
      <c r="I37" s="16">
        <f t="shared" si="6"/>
        <v>2170</v>
      </c>
      <c r="J37" s="17">
        <f t="shared" si="6"/>
        <v>1061</v>
      </c>
      <c r="K37" s="14">
        <f t="shared" si="6"/>
        <v>6323</v>
      </c>
      <c r="L37" s="14">
        <f t="shared" si="6"/>
        <v>4829</v>
      </c>
    </row>
    <row r="38" spans="1:12" ht="11.25">
      <c r="A38" s="1" t="s">
        <v>31</v>
      </c>
      <c r="C38" s="24">
        <v>1558</v>
      </c>
      <c r="D38" s="14">
        <f>E38+216</f>
        <v>759</v>
      </c>
      <c r="E38" s="14">
        <f>F38+206</f>
        <v>543</v>
      </c>
      <c r="F38" s="14">
        <v>337</v>
      </c>
      <c r="G38" s="15">
        <f>252+H38</f>
        <v>1071</v>
      </c>
      <c r="H38" s="16">
        <f>265+I38</f>
        <v>819</v>
      </c>
      <c r="I38" s="16">
        <f>214+J38</f>
        <v>554</v>
      </c>
      <c r="J38" s="17">
        <v>340</v>
      </c>
      <c r="K38" s="14">
        <v>7202</v>
      </c>
      <c r="L38" s="14">
        <v>2460</v>
      </c>
    </row>
    <row r="39" spans="1:12" ht="11.25">
      <c r="A39" s="1" t="s">
        <v>32</v>
      </c>
      <c r="C39" s="14">
        <f aca="true" t="shared" si="7" ref="C39:L39">C37-C38</f>
        <v>4519</v>
      </c>
      <c r="D39" s="14">
        <f t="shared" si="7"/>
        <v>4935</v>
      </c>
      <c r="E39" s="14">
        <f t="shared" si="7"/>
        <v>3622</v>
      </c>
      <c r="F39" s="14">
        <f t="shared" si="7"/>
        <v>1918</v>
      </c>
      <c r="G39" s="15">
        <f t="shared" si="7"/>
        <v>3880</v>
      </c>
      <c r="H39" s="16">
        <f t="shared" si="7"/>
        <v>2779</v>
      </c>
      <c r="I39" s="16">
        <f t="shared" si="7"/>
        <v>1616</v>
      </c>
      <c r="J39" s="17">
        <f t="shared" si="7"/>
        <v>721</v>
      </c>
      <c r="K39" s="14">
        <f t="shared" si="7"/>
        <v>-879</v>
      </c>
      <c r="L39" s="14">
        <f t="shared" si="7"/>
        <v>2369</v>
      </c>
    </row>
    <row r="40" spans="1:12" ht="11.25">
      <c r="A40" s="2" t="s">
        <v>33</v>
      </c>
      <c r="B40" s="2"/>
      <c r="C40" s="25">
        <v>4513</v>
      </c>
      <c r="D40" s="18">
        <f>E40+1313</f>
        <v>4929</v>
      </c>
      <c r="E40" s="18">
        <f>F40+1704</f>
        <v>3616</v>
      </c>
      <c r="F40" s="18">
        <v>1912</v>
      </c>
      <c r="G40" s="46">
        <f>-3851+H40</f>
        <v>-12496</v>
      </c>
      <c r="H40" s="47">
        <f>1154+I40</f>
        <v>-8645</v>
      </c>
      <c r="I40" s="47">
        <f>-10520+J40</f>
        <v>-9799</v>
      </c>
      <c r="J40" s="20">
        <v>721</v>
      </c>
      <c r="K40" s="18">
        <v>-879</v>
      </c>
      <c r="L40" s="18">
        <v>2369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0</v>
      </c>
      <c r="D42" s="14">
        <v>0</v>
      </c>
      <c r="E42" s="14">
        <v>0</v>
      </c>
      <c r="F42" s="14">
        <v>0</v>
      </c>
      <c r="G42" s="15">
        <v>0</v>
      </c>
      <c r="H42" s="16">
        <v>56</v>
      </c>
      <c r="I42" s="16">
        <v>56</v>
      </c>
      <c r="J42" s="17">
        <v>53123</v>
      </c>
      <c r="K42" s="14">
        <v>53123</v>
      </c>
      <c r="L42" s="14">
        <v>0</v>
      </c>
    </row>
    <row r="43" spans="1:12" ht="11.25">
      <c r="A43" s="1" t="s">
        <v>36</v>
      </c>
      <c r="C43" s="1">
        <v>4130</v>
      </c>
      <c r="D43" s="14">
        <v>14434</v>
      </c>
      <c r="E43" s="14">
        <v>14656</v>
      </c>
      <c r="F43" s="14">
        <v>15145</v>
      </c>
      <c r="G43" s="15">
        <v>15948</v>
      </c>
      <c r="H43" s="16">
        <v>13697</v>
      </c>
      <c r="I43" s="16">
        <v>13802</v>
      </c>
      <c r="J43" s="17">
        <v>38269</v>
      </c>
      <c r="K43" s="14">
        <v>38338</v>
      </c>
      <c r="L43" s="14">
        <v>1400</v>
      </c>
    </row>
    <row r="44" spans="1:12" ht="11.25">
      <c r="A44" s="1" t="s">
        <v>37</v>
      </c>
      <c r="C44" s="26">
        <f aca="true" t="shared" si="8" ref="C44:L44">C42/C13</f>
        <v>0</v>
      </c>
      <c r="D44" s="26">
        <f t="shared" si="8"/>
        <v>0</v>
      </c>
      <c r="E44" s="26">
        <f t="shared" si="8"/>
        <v>0</v>
      </c>
      <c r="F44" s="26">
        <f t="shared" si="8"/>
        <v>0</v>
      </c>
      <c r="G44" s="27">
        <f t="shared" si="8"/>
        <v>0</v>
      </c>
      <c r="H44" s="28">
        <f t="shared" si="8"/>
        <v>0.0003994493305657201</v>
      </c>
      <c r="I44" s="28">
        <f t="shared" si="8"/>
        <v>0.0004112174238697028</v>
      </c>
      <c r="J44" s="29">
        <f t="shared" si="8"/>
        <v>0.28314598357291715</v>
      </c>
      <c r="K44" s="26">
        <f t="shared" si="8"/>
        <v>0.3078113139764635</v>
      </c>
      <c r="L44" s="26">
        <f t="shared" si="8"/>
        <v>0</v>
      </c>
    </row>
    <row r="45" spans="1:12" ht="11.25">
      <c r="A45" s="1" t="s">
        <v>38</v>
      </c>
      <c r="C45" s="26">
        <v>0</v>
      </c>
      <c r="D45" s="26">
        <v>0</v>
      </c>
      <c r="E45" s="26">
        <v>0</v>
      </c>
      <c r="F45" s="26">
        <v>0</v>
      </c>
      <c r="G45" s="27">
        <v>0</v>
      </c>
      <c r="H45" s="28">
        <f>H43/H42</f>
        <v>244.58928571428572</v>
      </c>
      <c r="I45" s="28">
        <f>I43/I42</f>
        <v>246.46428571428572</v>
      </c>
      <c r="J45" s="29">
        <f>J43/J42</f>
        <v>0.7203847674265385</v>
      </c>
      <c r="K45" s="26">
        <f>K43/K42</f>
        <v>0.7216836398546769</v>
      </c>
      <c r="L45" s="26">
        <v>0</v>
      </c>
    </row>
    <row r="46" spans="1:12" ht="11.25">
      <c r="A46" s="2" t="s">
        <v>39</v>
      </c>
      <c r="B46" s="2"/>
      <c r="C46" s="30">
        <f aca="true" t="shared" si="9" ref="C46:L46">C43/C13</f>
        <v>0.03589556389931859</v>
      </c>
      <c r="D46" s="30">
        <f t="shared" si="9"/>
        <v>0.10997165757474171</v>
      </c>
      <c r="E46" s="30">
        <f t="shared" si="9"/>
        <v>0.10677468472472151</v>
      </c>
      <c r="F46" s="30">
        <f t="shared" si="9"/>
        <v>0.11072768082353027</v>
      </c>
      <c r="G46" s="31">
        <f t="shared" si="9"/>
        <v>0.12019263379230821</v>
      </c>
      <c r="H46" s="30">
        <f t="shared" si="9"/>
        <v>0.09770102644211907</v>
      </c>
      <c r="I46" s="30">
        <f t="shared" si="9"/>
        <v>0.10135040864731497</v>
      </c>
      <c r="J46" s="32">
        <f t="shared" si="9"/>
        <v>0.2039740535239344</v>
      </c>
      <c r="K46" s="30">
        <f t="shared" si="9"/>
        <v>0.22214238945898496</v>
      </c>
      <c r="L46" s="30">
        <f t="shared" si="9"/>
        <v>0.013119055428009183</v>
      </c>
    </row>
    <row r="47" spans="1:12" ht="11.25">
      <c r="A47" s="9" t="s">
        <v>40</v>
      </c>
      <c r="G47" s="15"/>
      <c r="H47" s="16"/>
      <c r="I47" s="16"/>
      <c r="J47" s="17"/>
      <c r="K47" s="14"/>
      <c r="L47" s="14"/>
    </row>
    <row r="48" spans="1:12" ht="11.25">
      <c r="A48" s="1" t="s">
        <v>41</v>
      </c>
      <c r="C48" s="26">
        <f aca="true" t="shared" si="10" ref="C48:L48">C25/(C13+C16)</f>
        <v>0.11978276838256535</v>
      </c>
      <c r="D48" s="26">
        <f t="shared" si="10"/>
        <v>0.10862747666135499</v>
      </c>
      <c r="E48" s="26">
        <f t="shared" si="10"/>
        <v>0.09492338366726621</v>
      </c>
      <c r="F48" s="26">
        <f t="shared" si="10"/>
        <v>0.08322155153141068</v>
      </c>
      <c r="G48" s="27">
        <f t="shared" si="10"/>
        <v>-0.017936510219639545</v>
      </c>
      <c r="H48" s="28">
        <f t="shared" si="10"/>
        <v>0.009249911320909165</v>
      </c>
      <c r="I48" s="28">
        <f t="shared" si="10"/>
        <v>0.0014016792116956114</v>
      </c>
      <c r="J48" s="29">
        <f t="shared" si="10"/>
        <v>0.05523131525944089</v>
      </c>
      <c r="K48" s="26">
        <f t="shared" si="10"/>
        <v>0.048848038807577245</v>
      </c>
      <c r="L48" s="26">
        <f t="shared" si="10"/>
        <v>0.10737393582187295</v>
      </c>
    </row>
    <row r="49" spans="1:12" ht="11.25">
      <c r="A49" s="2" t="s">
        <v>42</v>
      </c>
      <c r="B49" s="2"/>
      <c r="C49" s="30">
        <f>C25/C13</f>
        <v>0.126138575997775</v>
      </c>
      <c r="D49" s="30">
        <f aca="true" t="shared" si="11" ref="D49:L49">D25/D11</f>
        <v>0.10466061889205143</v>
      </c>
      <c r="E49" s="30">
        <f t="shared" si="11"/>
        <v>0.08847533399178666</v>
      </c>
      <c r="F49" s="30">
        <f t="shared" si="11"/>
        <v>0.08043757174691066</v>
      </c>
      <c r="G49" s="31">
        <f t="shared" si="11"/>
        <v>-0.01720878241309358</v>
      </c>
      <c r="H49" s="30">
        <f t="shared" si="11"/>
        <v>0.008900382663944918</v>
      </c>
      <c r="I49" s="30">
        <f t="shared" si="11"/>
        <v>0.0012586136370787578</v>
      </c>
      <c r="J49" s="32">
        <f t="shared" si="11"/>
        <v>0.05274913413098237</v>
      </c>
      <c r="K49" s="30">
        <f t="shared" si="11"/>
        <v>0.047628582561260714</v>
      </c>
      <c r="L49" s="30">
        <f t="shared" si="11"/>
        <v>0.10472573049113873</v>
      </c>
    </row>
    <row r="50" spans="1:12" ht="11.25">
      <c r="A50" s="9" t="s">
        <v>43</v>
      </c>
      <c r="F50" s="33"/>
      <c r="G50" s="34"/>
      <c r="H50" s="35"/>
      <c r="I50" s="35"/>
      <c r="J50" s="36"/>
      <c r="K50" s="33"/>
      <c r="L50" s="33"/>
    </row>
    <row r="51" spans="1:12" ht="11.25">
      <c r="A51" s="1" t="s">
        <v>44</v>
      </c>
      <c r="C51" s="33">
        <f aca="true" t="shared" si="12" ref="C51:L51">C12/C17</f>
        <v>0.09208503515841755</v>
      </c>
      <c r="D51" s="33">
        <f t="shared" si="12"/>
        <v>0.03094033263842332</v>
      </c>
      <c r="E51" s="33">
        <f t="shared" si="12"/>
        <v>0.06948907455012854</v>
      </c>
      <c r="F51" s="33">
        <f t="shared" si="12"/>
        <v>0.026293447862564923</v>
      </c>
      <c r="G51" s="34">
        <f t="shared" si="12"/>
        <v>0.028496553208167782</v>
      </c>
      <c r="H51" s="35">
        <f t="shared" si="12"/>
        <v>0.02016653848429273</v>
      </c>
      <c r="I51" s="35">
        <f t="shared" si="12"/>
        <v>0.026122043940488438</v>
      </c>
      <c r="J51" s="36">
        <f t="shared" si="12"/>
        <v>0.02668431592166446</v>
      </c>
      <c r="K51" s="33">
        <f t="shared" si="12"/>
        <v>0.023354968075563295</v>
      </c>
      <c r="L51" s="33">
        <f t="shared" si="12"/>
        <v>0.010245881509278269</v>
      </c>
    </row>
    <row r="52" spans="1:12" ht="11.25">
      <c r="A52" s="1" t="s">
        <v>45</v>
      </c>
      <c r="C52" s="33">
        <f aca="true" t="shared" si="13" ref="C52:L52">C12/C11</f>
        <v>0.07627393214234586</v>
      </c>
      <c r="D52" s="33">
        <f t="shared" si="13"/>
        <v>0.023618569565766044</v>
      </c>
      <c r="E52" s="33">
        <f t="shared" si="13"/>
        <v>0.05620678900036388</v>
      </c>
      <c r="F52" s="33">
        <f t="shared" si="13"/>
        <v>0.021331622661894794</v>
      </c>
      <c r="G52" s="34">
        <f t="shared" si="13"/>
        <v>0.025585471205994782</v>
      </c>
      <c r="H52" s="35">
        <f t="shared" si="13"/>
        <v>0.017899220888331704</v>
      </c>
      <c r="I52" s="35">
        <f t="shared" si="13"/>
        <v>0.022529184103709764</v>
      </c>
      <c r="J52" s="36">
        <f t="shared" si="13"/>
        <v>0.01933938129722922</v>
      </c>
      <c r="K52" s="33">
        <f t="shared" si="13"/>
        <v>0.01197614512078968</v>
      </c>
      <c r="L52" s="33">
        <f t="shared" si="13"/>
        <v>0.008882567854131714</v>
      </c>
    </row>
    <row r="53" spans="1:12" ht="11.25">
      <c r="A53" s="2" t="s">
        <v>46</v>
      </c>
      <c r="B53" s="2"/>
      <c r="C53" s="37">
        <f aca="true" t="shared" si="14" ref="C53:L53">(C12+C16)/C17</f>
        <v>0.14761987064613258</v>
      </c>
      <c r="D53" s="37">
        <f t="shared" si="14"/>
        <v>0.08770560305637955</v>
      </c>
      <c r="E53" s="37">
        <f t="shared" si="14"/>
        <v>0.11914363753213368</v>
      </c>
      <c r="F53" s="37">
        <f t="shared" si="14"/>
        <v>0.07922160074577174</v>
      </c>
      <c r="G53" s="38">
        <f t="shared" si="14"/>
        <v>0.07736645122616641</v>
      </c>
      <c r="H53" s="37">
        <f t="shared" si="14"/>
        <v>0.06751760042595989</v>
      </c>
      <c r="I53" s="37">
        <f t="shared" si="14"/>
        <v>0.07358681931280053</v>
      </c>
      <c r="J53" s="39">
        <f t="shared" si="14"/>
        <v>0.07088891151613888</v>
      </c>
      <c r="K53" s="37">
        <f t="shared" si="14"/>
        <v>0.10343517492480608</v>
      </c>
      <c r="L53" s="37">
        <f t="shared" si="14"/>
        <v>0.08696719942630922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0">
        <f>C40/C28</f>
        <v>0.034687767815623716</v>
      </c>
      <c r="D55" s="40">
        <f>(D40/0.75)/D28</f>
        <v>0.04627696467614222</v>
      </c>
      <c r="E55" s="26">
        <f>(E40/0.5)/E28</f>
        <v>0.05055080243806968</v>
      </c>
      <c r="F55" s="26">
        <f>((F40)/0.25)/F28</f>
        <v>0.045353060649637525</v>
      </c>
      <c r="G55" s="41">
        <f>G40/G28</f>
        <v>-0.07829156968457193</v>
      </c>
      <c r="H55" s="40">
        <f>(H40/0.75)/H28</f>
        <v>-0.07063168172032468</v>
      </c>
      <c r="I55" s="40">
        <f>(I40/0.5)/I28</f>
        <v>-0.12339911093201023</v>
      </c>
      <c r="J55" s="29">
        <f>((J40)/0.25)/J28</f>
        <v>0.01438680245333892</v>
      </c>
      <c r="K55" s="26">
        <f>K40/K28</f>
        <v>-0.005965469500773679</v>
      </c>
      <c r="L55" s="26">
        <f>L40/L28</f>
        <v>0.01928320838725957</v>
      </c>
    </row>
    <row r="56" spans="1:12" ht="11.25">
      <c r="A56" s="1" t="s">
        <v>49</v>
      </c>
      <c r="B56" s="22"/>
      <c r="C56" s="40">
        <f>C40/C27</f>
        <v>0.0325091393686182</v>
      </c>
      <c r="D56" s="40">
        <f>(D40/0.75)/D27</f>
        <v>0.04455668740148138</v>
      </c>
      <c r="E56" s="26">
        <f>(E40/0.5)/E27</f>
        <v>0.046240261380238554</v>
      </c>
      <c r="F56" s="26">
        <f>((F40)/0.25)/F27</f>
        <v>0.04353444104805979</v>
      </c>
      <c r="G56" s="41">
        <f>G40/G27</f>
        <v>-0.07579994540656941</v>
      </c>
      <c r="H56" s="40">
        <f>(H40/0.75)/H27</f>
        <v>-0.06850916295195641</v>
      </c>
      <c r="I56" s="40">
        <f>(I40/0.5)/I27</f>
        <v>-0.11558661771427729</v>
      </c>
      <c r="J56" s="29">
        <f>((J40)/0.25)/J27</f>
        <v>0.013832864083956467</v>
      </c>
      <c r="K56" s="26">
        <f>K40/K27</f>
        <v>-0.005817243262024123</v>
      </c>
      <c r="L56" s="26">
        <f>L40/L27</f>
        <v>0.01868399675060926</v>
      </c>
    </row>
    <row r="57" spans="1:12" ht="11.25">
      <c r="A57" s="1" t="s">
        <v>50</v>
      </c>
      <c r="B57" s="22"/>
      <c r="C57" s="40">
        <f>+C40/C31</f>
        <v>0.7509776187702804</v>
      </c>
      <c r="D57" s="40">
        <f>(D40/0.75)/D31</f>
        <v>0.807123119435063</v>
      </c>
      <c r="E57" s="26">
        <f>(E40/0.5)/E31</f>
        <v>1.0469021424435436</v>
      </c>
      <c r="F57" s="26">
        <f>((F40)/0.25)/F31</f>
        <v>0.6757974728284881</v>
      </c>
      <c r="G57" s="41">
        <f>+G40/G31</f>
        <v>-3.9625812589186618</v>
      </c>
      <c r="H57" s="40">
        <f>(H40/0.75)/H31</f>
        <v>-1.5571315996847912</v>
      </c>
      <c r="I57" s="40">
        <f>(I40/0.5)/I31</f>
        <v>-3.2228251932247987</v>
      </c>
      <c r="J57" s="29">
        <f>((J40)/0.25)/J31</f>
        <v>0.2694823397495795</v>
      </c>
      <c r="K57" s="26">
        <f>K40/K31</f>
        <v>-0.08332543369039719</v>
      </c>
      <c r="L57" s="26">
        <f>L40/L31</f>
        <v>0.2783947352958458</v>
      </c>
    </row>
    <row r="58" spans="1:12" ht="11.25">
      <c r="A58" s="1" t="s">
        <v>51</v>
      </c>
      <c r="B58" s="22"/>
      <c r="C58" s="40">
        <f>C33/C28</f>
        <v>0.07541687963813426</v>
      </c>
      <c r="D58" s="40">
        <f>(D33/0.75)/D28</f>
        <v>0.07389855730694166</v>
      </c>
      <c r="E58" s="26">
        <f>(E33/0.5)/E28</f>
        <v>0.07697254375664038</v>
      </c>
      <c r="F58" s="26">
        <f>((F33)/0.25)/F28</f>
        <v>0.07251271255540895</v>
      </c>
      <c r="G58" s="41">
        <f>G33/G28</f>
        <v>0.08748280949949408</v>
      </c>
      <c r="H58" s="40">
        <f>(H33/0.75)/H28</f>
        <v>0.08555053086102023</v>
      </c>
      <c r="I58" s="40">
        <f>(I33/0.5)/I28</f>
        <v>0.08786157740306515</v>
      </c>
      <c r="J58" s="29">
        <f>((J33)/0.25)/J28</f>
        <v>0.07061705115446108</v>
      </c>
      <c r="K58" s="26">
        <f>K33/K28</f>
        <v>0.10811140972391889</v>
      </c>
      <c r="L58" s="26">
        <f>L33/L27</f>
        <v>0.114335964919199</v>
      </c>
    </row>
    <row r="59" spans="1:12" ht="11.25">
      <c r="A59" s="1" t="s">
        <v>52</v>
      </c>
      <c r="B59" s="22"/>
      <c r="C59" s="40">
        <f>C34/C28</f>
        <v>0.03909195371377403</v>
      </c>
      <c r="D59" s="40">
        <f>(D34/0.75)/D28</f>
        <v>0.040953564600797805</v>
      </c>
      <c r="E59" s="26">
        <f>(E34/0.5)/E28</f>
        <v>0.044092154560196835</v>
      </c>
      <c r="F59" s="26">
        <f>((F34)/0.25)/F28</f>
        <v>0.04245919380902258</v>
      </c>
      <c r="G59" s="41">
        <f>G34/G28</f>
        <v>0.06213328237531209</v>
      </c>
      <c r="H59" s="40">
        <f>(H34/0.75)/H28</f>
        <v>0.062191828947959694</v>
      </c>
      <c r="I59" s="40">
        <f>(I34/0.5)/I28</f>
        <v>0.06618897102343563</v>
      </c>
      <c r="J59" s="29">
        <f>((J34)/0.25)/J28</f>
        <v>0.05427476098901784</v>
      </c>
      <c r="K59" s="26">
        <f>K34/K28</f>
        <v>0.06992290360235633</v>
      </c>
      <c r="L59" s="26">
        <f>L34/L27</f>
        <v>0.08517820384406079</v>
      </c>
    </row>
    <row r="60" spans="1:12" ht="11.25">
      <c r="A60" s="1" t="s">
        <v>53</v>
      </c>
      <c r="B60" s="22"/>
      <c r="C60" s="40">
        <f>C35/C28</f>
        <v>0.03632492592436022</v>
      </c>
      <c r="D60" s="40">
        <f>(D35/0.75)/D28</f>
        <v>0.03294499270614386</v>
      </c>
      <c r="E60" s="26">
        <f>(E35/0.5)/E28</f>
        <v>0.03288038919644355</v>
      </c>
      <c r="F60" s="26">
        <f>((F35)/0.25)/F28</f>
        <v>0.030053518746386374</v>
      </c>
      <c r="G60" s="41">
        <f>G35/G28</f>
        <v>0.025349527124181984</v>
      </c>
      <c r="H60" s="40">
        <f>(H35/0.75)/H28</f>
        <v>0.02335870191306053</v>
      </c>
      <c r="I60" s="40">
        <f>(I35/0.5)/I28</f>
        <v>0.021672606379629512</v>
      </c>
      <c r="J60" s="29">
        <f>((J35)/0.25)/J28</f>
        <v>0.01634229016544324</v>
      </c>
      <c r="K60" s="26">
        <f>K35/K28</f>
        <v>0.03818850612156256</v>
      </c>
      <c r="L60" s="26">
        <f>L35/L27</f>
        <v>0.029157761075138216</v>
      </c>
    </row>
    <row r="61" spans="1:12" ht="11.25">
      <c r="A61" s="1" t="s">
        <v>54</v>
      </c>
      <c r="B61" s="22"/>
      <c r="C61" s="40">
        <f>C38/C37</f>
        <v>0.25637650156327135</v>
      </c>
      <c r="D61" s="40">
        <f>(D38/0.75)/(D37/0.75)</f>
        <v>0.1332982086406744</v>
      </c>
      <c r="E61" s="26">
        <f>(E38/0.5)/(E37/0.5)</f>
        <v>0.13037214885954382</v>
      </c>
      <c r="F61" s="26">
        <f>(F38/0.25)/(F37/0.25)</f>
        <v>0.14944567627494457</v>
      </c>
      <c r="G61" s="41">
        <f>G38/G37</f>
        <v>0.2163199353665926</v>
      </c>
      <c r="H61" s="40">
        <f>(H38/0.75)/(H37/0.75)</f>
        <v>0.2276264591439689</v>
      </c>
      <c r="I61" s="40">
        <f>(I38/0.5)/(I37/0.5)</f>
        <v>0.2552995391705069</v>
      </c>
      <c r="J61" s="29">
        <f>(J38/0.25)/(J37/0.25)</f>
        <v>0.32045240339302544</v>
      </c>
      <c r="K61" s="26">
        <f>K38/K37</f>
        <v>1.1390162897358849</v>
      </c>
      <c r="L61" s="26">
        <f>L38/L37</f>
        <v>0.5094222406295299</v>
      </c>
    </row>
    <row r="62" spans="1:12" ht="11.25">
      <c r="A62" s="2" t="s">
        <v>55</v>
      </c>
      <c r="B62" s="2"/>
      <c r="C62" s="42">
        <f>C36/C28</f>
        <v>0.010384040398605725</v>
      </c>
      <c r="D62" s="42">
        <f>(D36/0.75)/D28</f>
        <v>0.02051433715101862</v>
      </c>
      <c r="E62" s="30">
        <f>(E36/0.5)/E28</f>
        <v>0.025345300005591903</v>
      </c>
      <c r="F62" s="30">
        <f>(F36/0.25)/F28</f>
        <v>0.02343557736498006</v>
      </c>
      <c r="G62" s="43">
        <f>G36/G28</f>
        <v>0.005670124084870167</v>
      </c>
      <c r="H62" s="42">
        <f>(H36/0.75)/H28</f>
        <v>0.0060378036774227815</v>
      </c>
      <c r="I62" s="42">
        <f>(I36/0.5)/I28</f>
        <v>0.005654270926469292</v>
      </c>
      <c r="J62" s="32">
        <f>(J36/0.25)/J28</f>
        <v>0.004828857411522911</v>
      </c>
      <c r="K62" s="30">
        <f>K36/K28</f>
        <v>0.004723511686619431</v>
      </c>
      <c r="L62" s="30">
        <f>L36/L27</f>
        <v>0.00892793766217378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8</v>
      </c>
      <c r="D64" s="14">
        <v>12</v>
      </c>
      <c r="E64" s="14">
        <v>12</v>
      </c>
      <c r="F64" s="14">
        <v>12</v>
      </c>
      <c r="G64" s="15">
        <v>12</v>
      </c>
      <c r="H64" s="16">
        <v>13</v>
      </c>
      <c r="I64" s="16">
        <v>9</v>
      </c>
      <c r="J64" s="17">
        <v>15</v>
      </c>
      <c r="K64" s="14">
        <v>14</v>
      </c>
      <c r="L64" s="14">
        <v>13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5" ref="C66:L66">C13/C64</f>
        <v>14382</v>
      </c>
      <c r="D66" s="14">
        <f t="shared" si="15"/>
        <v>10937.666666666666</v>
      </c>
      <c r="E66" s="14">
        <f t="shared" si="15"/>
        <v>11438.416666666666</v>
      </c>
      <c r="F66" s="14">
        <f t="shared" si="15"/>
        <v>11398.083333333334</v>
      </c>
      <c r="G66" s="15">
        <f t="shared" si="15"/>
        <v>11057.25</v>
      </c>
      <c r="H66" s="16">
        <f t="shared" si="15"/>
        <v>10784.076923076924</v>
      </c>
      <c r="I66" s="16">
        <f t="shared" si="15"/>
        <v>15131.222222222223</v>
      </c>
      <c r="J66" s="17">
        <f t="shared" si="15"/>
        <v>12507.8</v>
      </c>
      <c r="K66" s="14">
        <f t="shared" si="15"/>
        <v>12327.357142857143</v>
      </c>
      <c r="L66" s="14">
        <f t="shared" si="15"/>
        <v>8208.846153846154</v>
      </c>
    </row>
    <row r="67" spans="1:12" ht="11.25">
      <c r="A67" s="1" t="s">
        <v>60</v>
      </c>
      <c r="C67" s="14">
        <f aca="true" t="shared" si="16" ref="C67:L67">C17/C64</f>
        <v>13741.375</v>
      </c>
      <c r="D67" s="14">
        <f t="shared" si="16"/>
        <v>9073.916666666666</v>
      </c>
      <c r="E67" s="14">
        <f t="shared" si="16"/>
        <v>10373.333333333334</v>
      </c>
      <c r="F67" s="14">
        <f t="shared" si="16"/>
        <v>10012</v>
      </c>
      <c r="G67" s="15">
        <f t="shared" si="16"/>
        <v>10843.416666666666</v>
      </c>
      <c r="H67" s="16">
        <f t="shared" si="16"/>
        <v>10401.846153846154</v>
      </c>
      <c r="I67" s="16">
        <f t="shared" si="16"/>
        <v>15227.666666666666</v>
      </c>
      <c r="J67" s="17">
        <f t="shared" si="16"/>
        <v>9821</v>
      </c>
      <c r="K67" s="14">
        <f t="shared" si="16"/>
        <v>6768.214285714285</v>
      </c>
      <c r="L67" s="14">
        <f t="shared" si="16"/>
        <v>7830.538461538462</v>
      </c>
    </row>
    <row r="68" spans="1:12" ht="11.25">
      <c r="A68" s="2" t="s">
        <v>61</v>
      </c>
      <c r="B68" s="2"/>
      <c r="C68" s="18">
        <f aca="true" t="shared" si="17" ref="C68:L68">(C40/C64)</f>
        <v>564.125</v>
      </c>
      <c r="D68" s="18">
        <f t="shared" si="17"/>
        <v>410.75</v>
      </c>
      <c r="E68" s="18">
        <f t="shared" si="17"/>
        <v>301.3333333333333</v>
      </c>
      <c r="F68" s="18">
        <f t="shared" si="17"/>
        <v>159.33333333333334</v>
      </c>
      <c r="G68" s="46">
        <f t="shared" si="17"/>
        <v>-1041.3333333333333</v>
      </c>
      <c r="H68" s="47">
        <f t="shared" si="17"/>
        <v>-665</v>
      </c>
      <c r="I68" s="47">
        <f t="shared" si="17"/>
        <v>-1088.7777777777778</v>
      </c>
      <c r="J68" s="20">
        <f t="shared" si="17"/>
        <v>48.06666666666667</v>
      </c>
      <c r="K68" s="18">
        <f t="shared" si="17"/>
        <v>-62.785714285714285</v>
      </c>
      <c r="L68" s="18">
        <f t="shared" si="17"/>
        <v>182.23076923076923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6">
        <f>(C11/G11)-1</f>
        <v>-0.08422919282944397</v>
      </c>
      <c r="D70" s="26">
        <f>(D11/H11)-1</f>
        <v>-0.06374012983006572</v>
      </c>
      <c r="E70" s="26">
        <f>(E11/I11)-1</f>
        <v>-0.03152197854063754</v>
      </c>
      <c r="F70" s="26">
        <f>(F11/J11)-1</f>
        <v>-0.2714400976070529</v>
      </c>
      <c r="G70" s="27">
        <f>(G11/K11)-1</f>
        <v>-0.21570049354922505</v>
      </c>
      <c r="H70" s="28">
        <f>(H11/184147)-1</f>
        <v>-0.172655541496739</v>
      </c>
      <c r="I70" s="28">
        <f>(I11/180200)-1</f>
        <v>-0.1181742508324084</v>
      </c>
      <c r="J70" s="29">
        <f>(J11/213714)-1</f>
        <v>-0.04889712419401626</v>
      </c>
      <c r="K70" s="26">
        <f>(K11/L11)-1</f>
        <v>0.5736878411868405</v>
      </c>
      <c r="L70" s="26">
        <f>(L11/136165)-1</f>
        <v>-0.13765651966364334</v>
      </c>
    </row>
    <row r="71" spans="1:12" ht="11.25">
      <c r="A71" s="1" t="s">
        <v>64</v>
      </c>
      <c r="C71" s="26">
        <f aca="true" t="shared" si="18" ref="C71:E73">(C13/G13)-1</f>
        <v>-0.13287661941260254</v>
      </c>
      <c r="D71" s="26">
        <f t="shared" si="18"/>
        <v>-0.06377636543907328</v>
      </c>
      <c r="E71" s="26">
        <f t="shared" si="18"/>
        <v>0.00793062174605863</v>
      </c>
      <c r="F71" s="26">
        <f>F13/J13-1</f>
        <v>-0.2709775766588316</v>
      </c>
      <c r="G71" s="27">
        <f>(G13/K13)-1</f>
        <v>-0.23116992983086404</v>
      </c>
      <c r="H71" s="28">
        <f>H13/172194-1</f>
        <v>-0.1858427122896268</v>
      </c>
      <c r="I71" s="28">
        <f>I13/167251-1</f>
        <v>-0.1857686949554861</v>
      </c>
      <c r="J71" s="29">
        <f>J13/199085-1</f>
        <v>-0.05760353617801439</v>
      </c>
      <c r="K71" s="26">
        <f>(K13/L13)-1</f>
        <v>0.6172328163800778</v>
      </c>
      <c r="L71" s="26">
        <f>L13/122222-1</f>
        <v>-0.12687568522851855</v>
      </c>
    </row>
    <row r="72" spans="2:12" ht="11.25">
      <c r="B72" s="1" t="s">
        <v>15</v>
      </c>
      <c r="C72" s="26">
        <f t="shared" si="18"/>
        <v>0.09884321421193976</v>
      </c>
      <c r="D72" s="26">
        <f t="shared" si="18"/>
        <v>-0.18610556865590422</v>
      </c>
      <c r="E72" s="26">
        <f t="shared" si="18"/>
        <v>0.2504921259842521</v>
      </c>
      <c r="F72" s="26">
        <f>(F14/J14)-1</f>
        <v>0.7572866065232478</v>
      </c>
      <c r="G72" s="27">
        <f>(G14/K14)-1</f>
        <v>-0.10686776440201096</v>
      </c>
      <c r="H72" s="28">
        <f>(H14/24334)-1</f>
        <v>-0.09377825265061235</v>
      </c>
      <c r="I72" s="28">
        <f>(I14/16882)-1</f>
        <v>0.0832839710934723</v>
      </c>
      <c r="J72" s="29">
        <f>(J14/18489)-1</f>
        <v>-0.37649413164584344</v>
      </c>
      <c r="K72" s="26">
        <f>(K14/L14)-1</f>
        <v>-0.021483052759850185</v>
      </c>
      <c r="L72" s="26">
        <f>(L14/29936)-1</f>
        <v>-0.25985435595938</v>
      </c>
    </row>
    <row r="73" spans="2:12" ht="11.25">
      <c r="B73" s="1" t="s">
        <v>16</v>
      </c>
      <c r="C73" s="26">
        <f t="shared" si="18"/>
        <v>-0.17247160770540848</v>
      </c>
      <c r="D73" s="26">
        <f t="shared" si="18"/>
        <v>-0.040942602483473145</v>
      </c>
      <c r="E73" s="26">
        <f t="shared" si="18"/>
        <v>-0.029696419634753557</v>
      </c>
      <c r="F73" s="26">
        <f>(F15/J15)-1</f>
        <v>-0.3382948395413683</v>
      </c>
      <c r="G73" s="27">
        <f>(G15/K15)-1</f>
        <v>-0.2490291712502154</v>
      </c>
      <c r="H73" s="28">
        <f>(H15/147860)-1</f>
        <v>-0.20099418368727173</v>
      </c>
      <c r="I73" s="28">
        <f>(I15/150369)-1</f>
        <v>-0.2159753672631992</v>
      </c>
      <c r="J73" s="29">
        <f>(J15/180596)-1</f>
        <v>-0.02495625595251283</v>
      </c>
      <c r="K73" s="26">
        <f>(K15/L15)-1</f>
        <v>0.7845975543413988</v>
      </c>
      <c r="L73" s="26">
        <f>(L15/92286)-1</f>
        <v>-0.08373967882452371</v>
      </c>
    </row>
    <row r="74" spans="1:12" ht="11.25">
      <c r="A74" s="1" t="s">
        <v>65</v>
      </c>
      <c r="C74" s="26">
        <f aca="true" t="shared" si="19" ref="C74:G75">(C17/G17)-1</f>
        <v>-0.15516327110919836</v>
      </c>
      <c r="D74" s="26">
        <f t="shared" si="19"/>
        <v>-0.1947657220611726</v>
      </c>
      <c r="E74" s="26">
        <f t="shared" si="19"/>
        <v>-0.09171172354413382</v>
      </c>
      <c r="F74" s="26">
        <f t="shared" si="19"/>
        <v>-0.18444150290194483</v>
      </c>
      <c r="G74" s="27">
        <f t="shared" si="19"/>
        <v>0.3732362408316183</v>
      </c>
      <c r="H74" s="28">
        <f>H17/162556-1</f>
        <v>-0.1681389797977313</v>
      </c>
      <c r="I74" s="28">
        <f>I17/162712-1</f>
        <v>-0.15772038939967548</v>
      </c>
      <c r="J74" s="29">
        <f>J17/197870-1</f>
        <v>-0.2554960327487744</v>
      </c>
      <c r="K74" s="26">
        <f>(K17/L17)-1</f>
        <v>-0.06917689126398618</v>
      </c>
      <c r="L74" s="26">
        <f>L17/99889-1</f>
        <v>0.01910120233459134</v>
      </c>
    </row>
    <row r="75" spans="2:12" ht="11.25">
      <c r="B75" s="1" t="s">
        <v>15</v>
      </c>
      <c r="C75" s="26">
        <f t="shared" si="19"/>
        <v>0.7706681151548072</v>
      </c>
      <c r="D75" s="26">
        <f t="shared" si="19"/>
        <v>0.09395904085623141</v>
      </c>
      <c r="E75" s="26">
        <f t="shared" si="19"/>
        <v>0.25767053917187965</v>
      </c>
      <c r="F75" s="26">
        <f t="shared" si="19"/>
        <v>0.3949740815866576</v>
      </c>
      <c r="G75" s="27">
        <f t="shared" si="19"/>
        <v>0.20342528435089546</v>
      </c>
      <c r="H75" s="28">
        <f>(H18/8093)-1</f>
        <v>0.20066724329667607</v>
      </c>
      <c r="I75" s="28">
        <f>(I18/11075)-1</f>
        <v>-0.3937697516930022</v>
      </c>
      <c r="J75" s="29">
        <f>(J18/10279)-1</f>
        <v>-0.13668644809806396</v>
      </c>
      <c r="K75" s="26">
        <f>(K18/L18)-1</f>
        <v>-0.009581768742716545</v>
      </c>
      <c r="L75" s="26">
        <f>(L18/10761)-1</f>
        <v>-0.2823157699098596</v>
      </c>
    </row>
    <row r="76" spans="2:12" ht="11.25">
      <c r="B76" s="1" t="s">
        <v>16</v>
      </c>
      <c r="C76" s="26">
        <f>(C22/G22)-1</f>
        <v>-0.22564424890006285</v>
      </c>
      <c r="D76" s="26">
        <f>(D22/H22)-1</f>
        <v>-0.21711936386018305</v>
      </c>
      <c r="E76" s="26">
        <f>(E22/I22)-1</f>
        <v>-0.10970959450646411</v>
      </c>
      <c r="F76" s="26">
        <f>(F22/J22)-1</f>
        <v>-0.22158175684948822</v>
      </c>
      <c r="G76" s="27">
        <f>(G22/K22)-1</f>
        <v>0.38814777397653444</v>
      </c>
      <c r="H76" s="28">
        <f>(H22/154463)-1</f>
        <v>-0.18746236962897267</v>
      </c>
      <c r="I76" s="28">
        <f>(I22/151637)-1</f>
        <v>-0.1404802258024097</v>
      </c>
      <c r="J76" s="29">
        <f>(J22/187592)-1</f>
        <v>-0.26201010704081196</v>
      </c>
      <c r="K76" s="26">
        <f>(K22/L22)-1</f>
        <v>-0.07406934966090528</v>
      </c>
      <c r="L76" s="26">
        <f>(L22/89128)-1</f>
        <v>0.05549322322951267</v>
      </c>
    </row>
    <row r="77" spans="1:12" ht="11.25">
      <c r="A77" s="1" t="s">
        <v>66</v>
      </c>
      <c r="C77" s="26">
        <f>(C25/G25)-1</f>
        <v>-6.819165998396151</v>
      </c>
      <c r="D77" s="26">
        <f>(D25/H25)-1</f>
        <v>10.009587020648967</v>
      </c>
      <c r="E77" s="26">
        <f>(E25/I25)-1</f>
        <v>67.08</v>
      </c>
      <c r="F77" s="26">
        <f>(F25/J25)-1</f>
        <v>0.11098675620220111</v>
      </c>
      <c r="G77" s="27">
        <f>(G25/K25)-1</f>
        <v>-1.2833768889898876</v>
      </c>
      <c r="H77" s="28">
        <f>(H25/13449)-1</f>
        <v>-0.8991746598260094</v>
      </c>
      <c r="I77" s="28">
        <f>(I25/11962)-1</f>
        <v>-0.9832803878950008</v>
      </c>
      <c r="J77" s="29">
        <f>(J25/10682)-1</f>
        <v>0.003744617112900306</v>
      </c>
      <c r="K77" s="26">
        <f>(K25/L25)-1</f>
        <v>-0.28429698300398476</v>
      </c>
      <c r="L77" s="26">
        <f>(L25/4722)-1</f>
        <v>1.6041931385006354</v>
      </c>
    </row>
    <row r="78" spans="1:12" ht="11.25">
      <c r="A78" s="2" t="s">
        <v>67</v>
      </c>
      <c r="B78" s="2"/>
      <c r="C78" s="30">
        <f>(C40/G40)-1</f>
        <v>-1.3611555697823303</v>
      </c>
      <c r="D78" s="30">
        <f>(D40/H40)-1</f>
        <v>-1.570156159629844</v>
      </c>
      <c r="E78" s="30">
        <f>(E40/I40)-1</f>
        <v>-1.369017246657822</v>
      </c>
      <c r="F78" s="30">
        <f>(F40/J40)-1</f>
        <v>1.6518723994452151</v>
      </c>
      <c r="G78" s="31">
        <f>(G40/K40)-1</f>
        <v>13.216154721274176</v>
      </c>
      <c r="H78" s="30">
        <f>(H40/3770)-1</f>
        <v>-3.293103448275862</v>
      </c>
      <c r="I78" s="30">
        <f>(I40/2280)-1</f>
        <v>-5.297807017543859</v>
      </c>
      <c r="J78" s="32">
        <f>(J40/682)-1</f>
        <v>0.05718475073313778</v>
      </c>
      <c r="K78" s="30">
        <f>(K40/L40)-1</f>
        <v>-1.3710426340227944</v>
      </c>
      <c r="L78" s="30">
        <f>(L40/1722)-1</f>
        <v>0.37572590011614393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906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2002-03-19T20:34:01Z</dcterms:created>
  <dcterms:modified xsi:type="dcterms:W3CDTF">2002-07-12T14:07:11Z</dcterms:modified>
  <cp:category/>
  <cp:version/>
  <cp:contentType/>
  <cp:contentStatus/>
</cp:coreProperties>
</file>