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Dresdner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<sst xmlns="http://schemas.openxmlformats.org/spreadsheetml/2006/main" count="84" uniqueCount="69">
  <si>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>CUADRO No. 18-37</t>
  </si>
  <si>
    <t>DRESDNER BANK LATEINAMERIKA, A.G.</t>
  </si>
  <si>
    <t>ESTADISTICA FINANCIERA. AÑO  1999, TRIMESTRES DE 2000 Y 2001</t>
  </si>
  <si>
    <t>(En miles de balboas)</t>
  </si>
  <si>
    <t xml:space="preserve">Año </t>
  </si>
  <si>
    <t xml:space="preserve">Diciembre </t>
  </si>
  <si>
    <t>Septiembre</t>
  </si>
  <si>
    <t>Junio</t>
  </si>
  <si>
    <t>Marzo</t>
  </si>
  <si>
    <t>Diciembre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</si>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</sst>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95" fontId="1" fillId="0" borderId="0" xfId="15" applyNumberFormat="1" applyFont="1" applyAlignment="1">
      <alignment/>
    </xf>
    <xf numFmtId="195" fontId="1" fillId="0" borderId="5" xfId="15" applyNumberFormat="1" applyFont="1" applyBorder="1" applyAlignment="1">
      <alignment/>
    </xf>
    <xf numFmtId="195" fontId="1" fillId="0" borderId="0" xfId="15" applyNumberFormat="1" applyFont="1" applyBorder="1" applyAlignment="1">
      <alignment/>
    </xf>
    <xf numFmtId="195" fontId="1" fillId="0" borderId="6" xfId="15" applyNumberFormat="1" applyFont="1" applyBorder="1" applyAlignment="1">
      <alignment/>
    </xf>
    <xf numFmtId="195" fontId="2" fillId="0" borderId="0" xfId="15" applyNumberFormat="1" applyFont="1" applyAlignment="1">
      <alignment/>
    </xf>
    <xf numFmtId="195" fontId="2" fillId="0" borderId="5" xfId="15" applyNumberFormat="1" applyFont="1" applyBorder="1" applyAlignment="1">
      <alignment/>
    </xf>
    <xf numFmtId="195" fontId="2" fillId="0" borderId="0" xfId="15" applyNumberFormat="1" applyFont="1" applyBorder="1" applyAlignment="1">
      <alignment/>
    </xf>
    <xf numFmtId="195" fontId="2" fillId="0" borderId="6" xfId="15" applyNumberFormat="1" applyFont="1" applyBorder="1" applyAlignment="1">
      <alignment/>
    </xf>
    <xf numFmtId="195" fontId="2" fillId="0" borderId="1" xfId="15" applyNumberFormat="1" applyFont="1" applyBorder="1" applyAlignment="1">
      <alignment/>
    </xf>
    <xf numFmtId="195" fontId="2" fillId="0" borderId="3" xfId="15" applyNumberFormat="1" applyFont="1" applyBorder="1" applyAlignment="1">
      <alignment/>
    </xf>
    <xf numFmtId="195" fontId="2" fillId="0" borderId="4" xfId="15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5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97" fontId="2" fillId="0" borderId="0" xfId="19" applyNumberFormat="1" applyFont="1" applyAlignment="1">
      <alignment/>
    </xf>
    <xf numFmtId="197" fontId="2" fillId="0" borderId="5" xfId="19" applyNumberFormat="1" applyFont="1" applyBorder="1" applyAlignment="1">
      <alignment/>
    </xf>
    <xf numFmtId="197" fontId="2" fillId="0" borderId="0" xfId="19" applyNumberFormat="1" applyFont="1" applyBorder="1" applyAlignment="1">
      <alignment/>
    </xf>
    <xf numFmtId="197" fontId="2" fillId="0" borderId="6" xfId="19" applyNumberFormat="1" applyFont="1" applyBorder="1" applyAlignment="1">
      <alignment/>
    </xf>
    <xf numFmtId="197" fontId="2" fillId="0" borderId="1" xfId="19" applyNumberFormat="1" applyFont="1" applyBorder="1" applyAlignment="1">
      <alignment/>
    </xf>
    <xf numFmtId="197" fontId="2" fillId="0" borderId="3" xfId="19" applyNumberFormat="1" applyFont="1" applyBorder="1" applyAlignment="1">
      <alignment/>
    </xf>
    <xf numFmtId="197" fontId="2" fillId="0" borderId="4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5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3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0" xfId="15" applyNumberFormat="1" applyFont="1" applyAlignment="1">
      <alignment/>
    </xf>
    <xf numFmtId="3" fontId="2" fillId="0" borderId="5" xfId="15" applyNumberFormat="1" applyFont="1" applyBorder="1" applyAlignment="1">
      <alignment/>
    </xf>
    <xf numFmtId="3" fontId="2" fillId="0" borderId="0" xfId="15" applyNumberFormat="1" applyFont="1" applyBorder="1" applyAlignment="1">
      <alignment/>
    </xf>
    <xf numFmtId="3" fontId="2" fillId="0" borderId="6" xfId="15" applyNumberFormat="1" applyFont="1" applyBorder="1" applyAlignment="1">
      <alignment/>
    </xf>
    <xf numFmtId="3" fontId="2" fillId="0" borderId="1" xfId="15" applyNumberFormat="1" applyFont="1" applyBorder="1" applyAlignment="1">
      <alignment/>
    </xf>
    <xf numFmtId="3" fontId="2" fillId="0" borderId="3" xfId="15" applyNumberFormat="1" applyFont="1" applyBorder="1" applyAlignment="1">
      <alignment/>
    </xf>
    <xf numFmtId="3" fontId="2" fillId="0" borderId="4" xfId="15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5" sqref="B15"/>
    </sheetView>
  </sheetViews>
  <sheetFormatPr defaultColWidth="11.421875" defaultRowHeight="12.75"/>
  <cols>
    <col min="1" max="1" width="3.7109375" style="1" customWidth="1"/>
    <col min="2" max="2" width="38.8515625" style="1" customWidth="1"/>
    <col min="3" max="3" width="8.140625" style="1" bestFit="1" customWidth="1"/>
    <col min="4" max="4" width="8.7109375" style="1" bestFit="1" customWidth="1"/>
    <col min="5" max="6" width="7.7109375" style="1" bestFit="1" customWidth="1"/>
    <col min="7" max="7" width="8.57421875" style="1" bestFit="1" customWidth="1"/>
    <col min="8" max="8" width="8.7109375" style="1" bestFit="1" customWidth="1"/>
    <col min="9" max="9" width="7.7109375" style="1" bestFit="1" customWidth="1"/>
    <col min="10" max="10" width="8.57421875" style="1" bestFit="1" customWidth="1"/>
    <col min="11" max="11" width="7.7109375" style="1" bestFit="1" customWidth="1"/>
    <col min="12" max="12" width="7.421875" style="1" hidden="1" customWidth="1"/>
    <col min="13" max="16384" width="11.421875" style="1" customWidth="1"/>
  </cols>
  <sheetData>
    <row r="1" ht="11.25"/>
    <row r="2" spans="2:12" ht="12.75" customHeight="1">
      <c r="B2" s="42"/>
      <c r="C2" s="52" t="s">
        <v>0</v>
      </c>
      <c r="D2" s="52"/>
      <c r="E2" s="52"/>
      <c r="F2" s="52"/>
      <c r="G2" s="52"/>
      <c r="H2" s="52"/>
      <c r="I2" s="52"/>
      <c r="J2" s="42"/>
      <c r="K2" s="42"/>
      <c r="L2" s="42"/>
    </row>
    <row r="3" spans="2:12" ht="12.75" customHeight="1">
      <c r="B3" s="42"/>
      <c r="C3" s="52" t="s">
        <v>1</v>
      </c>
      <c r="D3" s="52"/>
      <c r="E3" s="52"/>
      <c r="F3" s="52"/>
      <c r="G3" s="52"/>
      <c r="H3" s="52"/>
      <c r="I3" s="52"/>
      <c r="J3" s="42"/>
      <c r="K3" s="42"/>
      <c r="L3" s="42"/>
    </row>
    <row r="4" spans="2:12" ht="12.75" customHeight="1">
      <c r="B4" s="42"/>
      <c r="C4" s="52" t="s">
        <v>2</v>
      </c>
      <c r="D4" s="52"/>
      <c r="E4" s="52"/>
      <c r="F4" s="52"/>
      <c r="G4" s="52"/>
      <c r="H4" s="52"/>
      <c r="I4" s="52"/>
      <c r="J4" s="42"/>
      <c r="K4" s="42"/>
      <c r="L4" s="42"/>
    </row>
    <row r="5" spans="2:12" ht="12.75" customHeight="1">
      <c r="B5" s="41"/>
      <c r="C5" s="53" t="s">
        <v>3</v>
      </c>
      <c r="D5" s="53"/>
      <c r="E5" s="53"/>
      <c r="F5" s="53"/>
      <c r="G5" s="53"/>
      <c r="H5" s="53"/>
      <c r="I5" s="53"/>
      <c r="J5" s="41"/>
      <c r="K5" s="41"/>
      <c r="L5" s="41"/>
    </row>
    <row r="6" spans="1:12" ht="11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50">
        <v>2001</v>
      </c>
      <c r="D8" s="50"/>
      <c r="E8" s="50"/>
      <c r="F8" s="51"/>
      <c r="G8" s="54">
        <v>2000</v>
      </c>
      <c r="H8" s="50"/>
      <c r="I8" s="50"/>
      <c r="J8" s="51"/>
      <c r="K8" s="50" t="s">
        <v>4</v>
      </c>
      <c r="L8" s="50"/>
    </row>
    <row r="9" spans="1:12" ht="11.25">
      <c r="A9" s="4"/>
      <c r="B9" s="4"/>
      <c r="C9" s="4" t="s">
        <v>5</v>
      </c>
      <c r="D9" s="4" t="s">
        <v>6</v>
      </c>
      <c r="E9" s="4" t="s">
        <v>7</v>
      </c>
      <c r="F9" s="4" t="s">
        <v>8</v>
      </c>
      <c r="G9" s="5" t="s">
        <v>9</v>
      </c>
      <c r="H9" s="4" t="s">
        <v>6</v>
      </c>
      <c r="I9" s="4" t="s">
        <v>7</v>
      </c>
      <c r="J9" s="6" t="s">
        <v>8</v>
      </c>
      <c r="K9" s="7" t="s">
        <v>10</v>
      </c>
      <c r="L9" s="7" t="s">
        <v>11</v>
      </c>
    </row>
    <row r="10" spans="1:12" ht="11.25">
      <c r="A10" s="8" t="s">
        <v>12</v>
      </c>
      <c r="B10" s="8"/>
      <c r="C10" s="8"/>
      <c r="D10" s="8"/>
      <c r="E10" s="8"/>
      <c r="F10" s="9"/>
      <c r="G10" s="10"/>
      <c r="H10" s="11"/>
      <c r="I10" s="11"/>
      <c r="J10" s="12"/>
      <c r="K10" s="9"/>
      <c r="L10" s="9"/>
    </row>
    <row r="11" spans="1:12" ht="11.25">
      <c r="A11" s="1" t="s">
        <v>13</v>
      </c>
      <c r="C11" s="13">
        <v>358181</v>
      </c>
      <c r="D11" s="13">
        <v>243792</v>
      </c>
      <c r="E11" s="13">
        <v>329112</v>
      </c>
      <c r="F11" s="13">
        <v>433039</v>
      </c>
      <c r="G11" s="14">
        <v>297358</v>
      </c>
      <c r="H11" s="15">
        <v>205362</v>
      </c>
      <c r="I11" s="15">
        <v>204698</v>
      </c>
      <c r="J11" s="16">
        <v>192561</v>
      </c>
      <c r="K11" s="13">
        <v>188407</v>
      </c>
      <c r="L11" s="13">
        <v>213326</v>
      </c>
    </row>
    <row r="12" spans="1:12" ht="11.25">
      <c r="A12" s="1" t="s">
        <v>14</v>
      </c>
      <c r="C12" s="13">
        <v>32003</v>
      </c>
      <c r="D12" s="13">
        <v>24692</v>
      </c>
      <c r="E12" s="13">
        <v>55755</v>
      </c>
      <c r="F12" s="13">
        <v>8336</v>
      </c>
      <c r="G12" s="14">
        <v>12641</v>
      </c>
      <c r="H12" s="15">
        <v>12066</v>
      </c>
      <c r="I12" s="15">
        <v>12536</v>
      </c>
      <c r="J12" s="16">
        <v>18082</v>
      </c>
      <c r="K12" s="13">
        <v>23101</v>
      </c>
      <c r="L12" s="13">
        <v>13857</v>
      </c>
    </row>
    <row r="13" spans="1:12" ht="11.25">
      <c r="A13" s="1" t="s">
        <v>15</v>
      </c>
      <c r="C13" s="13">
        <f aca="true" t="shared" si="0" ref="C13:L13">C14+C15</f>
        <v>104876</v>
      </c>
      <c r="D13" s="13">
        <f t="shared" si="0"/>
        <v>102354</v>
      </c>
      <c r="E13" s="13">
        <f t="shared" si="0"/>
        <v>89185</v>
      </c>
      <c r="F13" s="13">
        <f t="shared" si="0"/>
        <v>90470</v>
      </c>
      <c r="G13" s="14">
        <f t="shared" si="0"/>
        <v>85502</v>
      </c>
      <c r="H13" s="15">
        <f t="shared" si="0"/>
        <v>85478</v>
      </c>
      <c r="I13" s="15">
        <f t="shared" si="0"/>
        <v>73398</v>
      </c>
      <c r="J13" s="16">
        <f t="shared" si="0"/>
        <v>69522</v>
      </c>
      <c r="K13" s="13">
        <f t="shared" si="0"/>
        <v>94430</v>
      </c>
      <c r="L13" s="13">
        <f t="shared" si="0"/>
        <v>81186</v>
      </c>
    </row>
    <row r="14" spans="2:12" ht="11.25">
      <c r="B14" s="1" t="s">
        <v>16</v>
      </c>
      <c r="C14" s="13">
        <v>104876</v>
      </c>
      <c r="D14" s="13">
        <v>102354</v>
      </c>
      <c r="E14" s="13">
        <v>89185</v>
      </c>
      <c r="F14" s="13">
        <v>90470</v>
      </c>
      <c r="G14" s="14">
        <v>85502</v>
      </c>
      <c r="H14" s="15">
        <v>85478</v>
      </c>
      <c r="I14" s="15">
        <v>73398</v>
      </c>
      <c r="J14" s="16">
        <v>69522</v>
      </c>
      <c r="K14" s="13">
        <v>94430</v>
      </c>
      <c r="L14" s="13">
        <v>81186</v>
      </c>
    </row>
    <row r="15" spans="2:12" ht="11.25">
      <c r="B15" s="1" t="s">
        <v>17</v>
      </c>
      <c r="C15" s="13">
        <v>0</v>
      </c>
      <c r="D15" s="13">
        <v>0</v>
      </c>
      <c r="E15" s="13">
        <v>0</v>
      </c>
      <c r="F15" s="13">
        <v>0</v>
      </c>
      <c r="G15" s="14">
        <v>0</v>
      </c>
      <c r="H15" s="15">
        <v>0</v>
      </c>
      <c r="I15" s="15">
        <v>0</v>
      </c>
      <c r="J15" s="16">
        <v>0</v>
      </c>
      <c r="K15" s="13">
        <v>0</v>
      </c>
      <c r="L15" s="13">
        <v>0</v>
      </c>
    </row>
    <row r="16" spans="1:12" ht="11.25">
      <c r="A16" s="1" t="s">
        <v>18</v>
      </c>
      <c r="C16" s="13">
        <v>11316</v>
      </c>
      <c r="D16" s="13">
        <v>4121</v>
      </c>
      <c r="E16" s="13">
        <v>3116</v>
      </c>
      <c r="F16" s="13">
        <v>3116</v>
      </c>
      <c r="G16" s="14">
        <v>2116</v>
      </c>
      <c r="H16" s="15">
        <v>3500</v>
      </c>
      <c r="I16" s="15">
        <v>3000</v>
      </c>
      <c r="J16" s="16">
        <v>3000</v>
      </c>
      <c r="K16" s="13">
        <v>3000</v>
      </c>
      <c r="L16" s="13">
        <v>0</v>
      </c>
    </row>
    <row r="17" spans="1:12" ht="11.25">
      <c r="A17" s="1" t="s">
        <v>19</v>
      </c>
      <c r="C17" s="13">
        <f aca="true" t="shared" si="1" ref="C17:L17">C18+C22</f>
        <v>342790</v>
      </c>
      <c r="D17" s="13">
        <f t="shared" si="1"/>
        <v>239277</v>
      </c>
      <c r="E17" s="13">
        <f t="shared" si="1"/>
        <v>321365</v>
      </c>
      <c r="F17" s="13">
        <f t="shared" si="1"/>
        <v>420984</v>
      </c>
      <c r="G17" s="14">
        <f t="shared" si="1"/>
        <v>292120</v>
      </c>
      <c r="H17" s="15">
        <f t="shared" si="1"/>
        <v>194722</v>
      </c>
      <c r="I17" s="15">
        <f t="shared" si="1"/>
        <v>195038</v>
      </c>
      <c r="J17" s="16">
        <f t="shared" si="1"/>
        <v>178517</v>
      </c>
      <c r="K17" s="13">
        <f t="shared" si="1"/>
        <v>181580</v>
      </c>
      <c r="L17" s="13">
        <f t="shared" si="1"/>
        <v>194310</v>
      </c>
    </row>
    <row r="18" spans="2:12" ht="11.25">
      <c r="B18" s="1" t="s">
        <v>16</v>
      </c>
      <c r="C18" s="13">
        <f aca="true" t="shared" si="2" ref="C18:L18">SUM(C19:C21)</f>
        <v>342790</v>
      </c>
      <c r="D18" s="13">
        <f t="shared" si="2"/>
        <v>239277</v>
      </c>
      <c r="E18" s="13">
        <f t="shared" si="2"/>
        <v>321365</v>
      </c>
      <c r="F18" s="13">
        <f t="shared" si="2"/>
        <v>420984</v>
      </c>
      <c r="G18" s="14">
        <f t="shared" si="2"/>
        <v>292120</v>
      </c>
      <c r="H18" s="15">
        <f t="shared" si="2"/>
        <v>194722</v>
      </c>
      <c r="I18" s="15">
        <f t="shared" si="2"/>
        <v>195038</v>
      </c>
      <c r="J18" s="16">
        <f t="shared" si="2"/>
        <v>178517</v>
      </c>
      <c r="K18" s="13">
        <f t="shared" si="2"/>
        <v>181580</v>
      </c>
      <c r="L18" s="13">
        <f t="shared" si="2"/>
        <v>194310</v>
      </c>
    </row>
    <row r="19" spans="2:12" ht="11.25">
      <c r="B19" s="1" t="s">
        <v>20</v>
      </c>
      <c r="C19" s="13">
        <v>0</v>
      </c>
      <c r="D19" s="13">
        <v>0</v>
      </c>
      <c r="E19" s="13">
        <v>0</v>
      </c>
      <c r="F19" s="13">
        <v>0</v>
      </c>
      <c r="G19" s="14">
        <v>0</v>
      </c>
      <c r="H19" s="15">
        <v>0</v>
      </c>
      <c r="I19" s="15">
        <v>0</v>
      </c>
      <c r="J19" s="16">
        <v>0</v>
      </c>
      <c r="K19" s="13">
        <v>0</v>
      </c>
      <c r="L19" s="13">
        <v>0</v>
      </c>
    </row>
    <row r="20" spans="2:12" ht="11.25">
      <c r="B20" s="1" t="s">
        <v>21</v>
      </c>
      <c r="C20" s="13">
        <f>7477+62384</f>
        <v>69861</v>
      </c>
      <c r="D20" s="13">
        <v>64145</v>
      </c>
      <c r="E20" s="13">
        <v>40959</v>
      </c>
      <c r="F20" s="13">
        <v>71190</v>
      </c>
      <c r="G20" s="14">
        <v>17436</v>
      </c>
      <c r="H20" s="15">
        <v>18088</v>
      </c>
      <c r="I20" s="15">
        <v>15806</v>
      </c>
      <c r="J20" s="16">
        <v>12366</v>
      </c>
      <c r="K20" s="13">
        <v>14494</v>
      </c>
      <c r="L20" s="13">
        <v>9052</v>
      </c>
    </row>
    <row r="21" spans="2:12" ht="11.25">
      <c r="B21" s="1" t="s">
        <v>22</v>
      </c>
      <c r="C21" s="13">
        <f>317+272612</f>
        <v>272929</v>
      </c>
      <c r="D21" s="13">
        <v>175132</v>
      </c>
      <c r="E21" s="13">
        <v>280406</v>
      </c>
      <c r="F21" s="13">
        <v>349794</v>
      </c>
      <c r="G21" s="14">
        <v>274684</v>
      </c>
      <c r="H21" s="15">
        <v>176634</v>
      </c>
      <c r="I21" s="15">
        <v>179232</v>
      </c>
      <c r="J21" s="16">
        <v>166151</v>
      </c>
      <c r="K21" s="13">
        <v>167086</v>
      </c>
      <c r="L21" s="13">
        <v>185258</v>
      </c>
    </row>
    <row r="22" spans="2:12" ht="11.25">
      <c r="B22" s="1" t="s">
        <v>17</v>
      </c>
      <c r="C22" s="13">
        <f aca="true" t="shared" si="3" ref="C22:L22">SUM(C23:C24)</f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4">
        <f t="shared" si="3"/>
        <v>0</v>
      </c>
      <c r="H22" s="15">
        <f t="shared" si="3"/>
        <v>0</v>
      </c>
      <c r="I22" s="15">
        <f t="shared" si="3"/>
        <v>0</v>
      </c>
      <c r="J22" s="16">
        <f t="shared" si="3"/>
        <v>0</v>
      </c>
      <c r="K22" s="13">
        <f t="shared" si="3"/>
        <v>0</v>
      </c>
      <c r="L22" s="13">
        <f t="shared" si="3"/>
        <v>0</v>
      </c>
    </row>
    <row r="23" spans="2:12" ht="11.25">
      <c r="B23" s="1" t="s">
        <v>21</v>
      </c>
      <c r="C23" s="13">
        <v>0</v>
      </c>
      <c r="D23" s="13">
        <v>0</v>
      </c>
      <c r="E23" s="13">
        <v>0</v>
      </c>
      <c r="F23" s="13">
        <v>0</v>
      </c>
      <c r="G23" s="14">
        <v>0</v>
      </c>
      <c r="H23" s="15">
        <v>0</v>
      </c>
      <c r="I23" s="15">
        <v>0</v>
      </c>
      <c r="J23" s="16">
        <v>0</v>
      </c>
      <c r="K23" s="13">
        <v>0</v>
      </c>
      <c r="L23" s="13">
        <v>0</v>
      </c>
    </row>
    <row r="24" spans="2:12" ht="11.25">
      <c r="B24" s="1" t="s">
        <v>22</v>
      </c>
      <c r="C24" s="13">
        <v>0</v>
      </c>
      <c r="D24" s="13">
        <v>0</v>
      </c>
      <c r="E24" s="13">
        <v>0</v>
      </c>
      <c r="F24" s="13">
        <v>0</v>
      </c>
      <c r="G24" s="14">
        <v>0</v>
      </c>
      <c r="H24" s="15">
        <v>0</v>
      </c>
      <c r="I24" s="15">
        <v>0</v>
      </c>
      <c r="J24" s="16">
        <v>0</v>
      </c>
      <c r="K24" s="13">
        <v>0</v>
      </c>
      <c r="L24" s="13">
        <v>0</v>
      </c>
    </row>
    <row r="25" spans="1:12" ht="11.25">
      <c r="A25" s="2" t="s">
        <v>23</v>
      </c>
      <c r="B25" s="2"/>
      <c r="C25" s="17">
        <v>12000</v>
      </c>
      <c r="D25" s="17">
        <v>1494</v>
      </c>
      <c r="E25" s="17">
        <v>3809</v>
      </c>
      <c r="F25" s="17">
        <v>8429</v>
      </c>
      <c r="G25" s="48">
        <v>-1709</v>
      </c>
      <c r="H25" s="17">
        <v>7605</v>
      </c>
      <c r="I25" s="17">
        <v>6553</v>
      </c>
      <c r="J25" s="19">
        <v>10670</v>
      </c>
      <c r="K25" s="17">
        <v>3466</v>
      </c>
      <c r="L25" s="17">
        <v>14314</v>
      </c>
    </row>
    <row r="26" spans="1:12" ht="11.25">
      <c r="A26" s="8" t="s">
        <v>24</v>
      </c>
      <c r="C26" s="13"/>
      <c r="D26" s="13"/>
      <c r="F26" s="13"/>
      <c r="G26" s="14"/>
      <c r="H26" s="15"/>
      <c r="I26" s="15"/>
      <c r="J26" s="16"/>
      <c r="K26" s="13"/>
      <c r="L26" s="13"/>
    </row>
    <row r="27" spans="1:12" ht="11.25">
      <c r="A27" s="1" t="s">
        <v>13</v>
      </c>
      <c r="C27" s="13">
        <f>(C11+G11)/2</f>
        <v>327769.5</v>
      </c>
      <c r="D27" s="13">
        <f>(D11+H11)/2</f>
        <v>224577</v>
      </c>
      <c r="E27" s="13">
        <f>(E11+I11)/2</f>
        <v>266905</v>
      </c>
      <c r="F27" s="13">
        <f>(F11+J11)/2</f>
        <v>312800</v>
      </c>
      <c r="G27" s="14">
        <f>(G11+K11)/2</f>
        <v>242882.5</v>
      </c>
      <c r="H27" s="15">
        <f>(H11+194956)/2</f>
        <v>200159</v>
      </c>
      <c r="I27" s="15">
        <f>(I11+239883)/2</f>
        <v>222290.5</v>
      </c>
      <c r="J27" s="16">
        <f>(J11+228816)/2</f>
        <v>210688.5</v>
      </c>
      <c r="K27" s="13">
        <f>(K11+L11)/2</f>
        <v>200866.5</v>
      </c>
      <c r="L27" s="13">
        <f>(L11+1873530)/2</f>
        <v>1043428</v>
      </c>
    </row>
    <row r="28" spans="1:12" ht="11.25">
      <c r="A28" s="1" t="s">
        <v>25</v>
      </c>
      <c r="C28" s="13">
        <f aca="true" t="shared" si="4" ref="C28:L28">C29+C30</f>
        <v>101905</v>
      </c>
      <c r="D28" s="13">
        <f t="shared" si="4"/>
        <v>97726.5</v>
      </c>
      <c r="E28" s="13">
        <f t="shared" si="4"/>
        <v>84349.5</v>
      </c>
      <c r="F28" s="13">
        <f t="shared" si="4"/>
        <v>83054</v>
      </c>
      <c r="G28" s="14">
        <f t="shared" si="4"/>
        <v>92524</v>
      </c>
      <c r="H28" s="15">
        <f t="shared" si="4"/>
        <v>84814.5</v>
      </c>
      <c r="I28" s="15">
        <f t="shared" si="4"/>
        <v>85859</v>
      </c>
      <c r="J28" s="16">
        <f t="shared" si="4"/>
        <v>75698</v>
      </c>
      <c r="K28" s="13">
        <f t="shared" si="4"/>
        <v>89308</v>
      </c>
      <c r="L28" s="13">
        <f t="shared" si="4"/>
        <v>729819</v>
      </c>
    </row>
    <row r="29" spans="2:12" ht="11.25">
      <c r="B29" s="1" t="s">
        <v>15</v>
      </c>
      <c r="C29" s="13">
        <f>(C13+G13)/2</f>
        <v>95189</v>
      </c>
      <c r="D29" s="13">
        <f>(D13+H13)/2</f>
        <v>93916</v>
      </c>
      <c r="E29" s="13">
        <f>(E13+I13)/2</f>
        <v>81291.5</v>
      </c>
      <c r="F29" s="13">
        <f>(F13+J13)/2</f>
        <v>79996</v>
      </c>
      <c r="G29" s="14">
        <f>(G13+K13)/2</f>
        <v>89966</v>
      </c>
      <c r="H29" s="15">
        <f>(H13+78651)/2</f>
        <v>82064.5</v>
      </c>
      <c r="I29" s="15">
        <f>(I13+93320)/2</f>
        <v>83359</v>
      </c>
      <c r="J29" s="16">
        <f>(J13+76874)/2</f>
        <v>73198</v>
      </c>
      <c r="K29" s="13">
        <f>(K13+L13)/2</f>
        <v>87808</v>
      </c>
      <c r="L29" s="13">
        <f>(L13+989381)/2</f>
        <v>535283.5</v>
      </c>
    </row>
    <row r="30" spans="2:12" ht="11.25">
      <c r="B30" s="1" t="s">
        <v>18</v>
      </c>
      <c r="C30" s="13">
        <f>(C16+G16)/2</f>
        <v>6716</v>
      </c>
      <c r="D30" s="13">
        <f>(D16+H16)/2</f>
        <v>3810.5</v>
      </c>
      <c r="E30" s="13">
        <f>(E16+I16)/2</f>
        <v>3058</v>
      </c>
      <c r="F30" s="13">
        <f>(F16+J16)/2</f>
        <v>3058</v>
      </c>
      <c r="G30" s="14">
        <f>(G16+K16)/2</f>
        <v>2558</v>
      </c>
      <c r="H30" s="15">
        <f>(H16+2000)/2</f>
        <v>2750</v>
      </c>
      <c r="I30" s="15">
        <f>(I16+2000)/2</f>
        <v>2500</v>
      </c>
      <c r="J30" s="16">
        <f>(J16+2000)/2</f>
        <v>2500</v>
      </c>
      <c r="K30" s="13">
        <f>(K16+L16)/2</f>
        <v>1500</v>
      </c>
      <c r="L30" s="13">
        <f>(L16+389071)/2</f>
        <v>194535.5</v>
      </c>
    </row>
    <row r="31" spans="1:12" ht="11.25">
      <c r="A31" s="2" t="s">
        <v>23</v>
      </c>
      <c r="B31" s="2"/>
      <c r="C31" s="17">
        <f>(C25+G25)/2</f>
        <v>5145.5</v>
      </c>
      <c r="D31" s="17">
        <f>(D25+H25)/2</f>
        <v>4549.5</v>
      </c>
      <c r="E31" s="17">
        <f>(E25+I25)/2</f>
        <v>5181</v>
      </c>
      <c r="F31" s="17">
        <f>(F25+J25)/2</f>
        <v>9549.5</v>
      </c>
      <c r="G31" s="18">
        <f>(G25+K25)/2</f>
        <v>878.5</v>
      </c>
      <c r="H31" s="17">
        <f>(H25+5542)/2</f>
        <v>6573.5</v>
      </c>
      <c r="I31" s="17">
        <f>(I25+12941)/2</f>
        <v>9747</v>
      </c>
      <c r="J31" s="19">
        <f>(J25+12084)/2</f>
        <v>11377</v>
      </c>
      <c r="K31" s="17">
        <f>(K25+L25)/2</f>
        <v>8890</v>
      </c>
      <c r="L31" s="17">
        <f>(L25+28728)/2</f>
        <v>21521</v>
      </c>
    </row>
    <row r="32" spans="1:10" ht="11.25">
      <c r="A32" s="8" t="s">
        <v>26</v>
      </c>
      <c r="C32" s="13"/>
      <c r="D32" s="13"/>
      <c r="F32" s="13"/>
      <c r="G32" s="20"/>
      <c r="H32" s="21"/>
      <c r="I32" s="21"/>
      <c r="J32" s="22"/>
    </row>
    <row r="33" spans="1:12" ht="11.25">
      <c r="A33" s="1" t="s">
        <v>27</v>
      </c>
      <c r="C33" s="13">
        <v>6462</v>
      </c>
      <c r="D33" s="13">
        <f>E33+1598</f>
        <v>5148</v>
      </c>
      <c r="E33" s="13">
        <f>F33+1790</f>
        <v>3550</v>
      </c>
      <c r="F33" s="13">
        <v>1760</v>
      </c>
      <c r="G33" s="14">
        <f>1821+H33</f>
        <v>7351</v>
      </c>
      <c r="H33" s="15">
        <f>1950+I33</f>
        <v>5530</v>
      </c>
      <c r="I33" s="15">
        <f>1675+J33</f>
        <v>3580</v>
      </c>
      <c r="J33" s="16">
        <v>1905</v>
      </c>
      <c r="K33" s="13">
        <v>7058</v>
      </c>
      <c r="L33" s="13">
        <v>15038</v>
      </c>
    </row>
    <row r="34" spans="1:12" ht="11.25">
      <c r="A34" s="1" t="s">
        <v>28</v>
      </c>
      <c r="C34" s="13">
        <v>11834</v>
      </c>
      <c r="D34" s="13">
        <f>E34+2023</f>
        <v>10067</v>
      </c>
      <c r="E34" s="13">
        <f>F34+3826</f>
        <v>8044</v>
      </c>
      <c r="F34" s="13">
        <v>4218</v>
      </c>
      <c r="G34" s="14">
        <f>3667+H34</f>
        <v>13681</v>
      </c>
      <c r="H34" s="15">
        <f>3774+I34</f>
        <v>10014</v>
      </c>
      <c r="I34" s="15">
        <f>2978+J34</f>
        <v>6240</v>
      </c>
      <c r="J34" s="16">
        <v>3262</v>
      </c>
      <c r="K34" s="13">
        <v>10373</v>
      </c>
      <c r="L34" s="13">
        <v>12532</v>
      </c>
    </row>
    <row r="35" spans="1:12" ht="11.25">
      <c r="A35" s="1" t="s">
        <v>29</v>
      </c>
      <c r="C35" s="43">
        <f aca="true" t="shared" si="5" ref="C35:L35">C33-C34</f>
        <v>-5372</v>
      </c>
      <c r="D35" s="43">
        <f t="shared" si="5"/>
        <v>-4919</v>
      </c>
      <c r="E35" s="43">
        <f t="shared" si="5"/>
        <v>-4494</v>
      </c>
      <c r="F35" s="43">
        <f t="shared" si="5"/>
        <v>-2458</v>
      </c>
      <c r="G35" s="44">
        <f t="shared" si="5"/>
        <v>-6330</v>
      </c>
      <c r="H35" s="45">
        <f t="shared" si="5"/>
        <v>-4484</v>
      </c>
      <c r="I35" s="45">
        <f t="shared" si="5"/>
        <v>-2660</v>
      </c>
      <c r="J35" s="46">
        <f t="shared" si="5"/>
        <v>-1357</v>
      </c>
      <c r="K35" s="43">
        <f t="shared" si="5"/>
        <v>-3315</v>
      </c>
      <c r="L35" s="13">
        <f t="shared" si="5"/>
        <v>2506</v>
      </c>
    </row>
    <row r="36" spans="1:12" ht="11.25">
      <c r="A36" s="1" t="s">
        <v>30</v>
      </c>
      <c r="C36" s="13">
        <v>695</v>
      </c>
      <c r="D36" s="13">
        <f>E36+144</f>
        <v>562</v>
      </c>
      <c r="E36" s="13">
        <f>F36+102</f>
        <v>418</v>
      </c>
      <c r="F36" s="13">
        <v>316</v>
      </c>
      <c r="G36" s="14">
        <f>963+H36</f>
        <v>5595</v>
      </c>
      <c r="H36" s="15">
        <f>4349+I36</f>
        <v>4632</v>
      </c>
      <c r="I36" s="15">
        <f>-1241+J36</f>
        <v>283</v>
      </c>
      <c r="J36" s="16">
        <v>1524</v>
      </c>
      <c r="K36" s="13">
        <v>7095</v>
      </c>
      <c r="L36" s="13">
        <v>568</v>
      </c>
    </row>
    <row r="37" spans="1:12" ht="11.25">
      <c r="A37" s="1" t="s">
        <v>31</v>
      </c>
      <c r="C37" s="43">
        <f aca="true" t="shared" si="6" ref="C37:L37">C35+C36</f>
        <v>-4677</v>
      </c>
      <c r="D37" s="43">
        <f t="shared" si="6"/>
        <v>-4357</v>
      </c>
      <c r="E37" s="43">
        <f t="shared" si="6"/>
        <v>-4076</v>
      </c>
      <c r="F37" s="43">
        <f t="shared" si="6"/>
        <v>-2142</v>
      </c>
      <c r="G37" s="44">
        <f t="shared" si="6"/>
        <v>-735</v>
      </c>
      <c r="H37" s="15">
        <f t="shared" si="6"/>
        <v>148</v>
      </c>
      <c r="I37" s="45">
        <f t="shared" si="6"/>
        <v>-2377</v>
      </c>
      <c r="J37" s="16">
        <f t="shared" si="6"/>
        <v>167</v>
      </c>
      <c r="K37" s="13">
        <f t="shared" si="6"/>
        <v>3780</v>
      </c>
      <c r="L37" s="13">
        <f t="shared" si="6"/>
        <v>3074</v>
      </c>
    </row>
    <row r="38" spans="1:12" ht="11.25">
      <c r="A38" s="1" t="s">
        <v>32</v>
      </c>
      <c r="C38" s="13">
        <v>8356</v>
      </c>
      <c r="D38" s="13">
        <f>E38+1921</f>
        <v>6035</v>
      </c>
      <c r="E38" s="13">
        <f>F38+2685</f>
        <v>4114</v>
      </c>
      <c r="F38" s="13">
        <v>1429</v>
      </c>
      <c r="G38" s="14">
        <f>7643+H38</f>
        <v>12183</v>
      </c>
      <c r="H38" s="15">
        <f>1475+I38</f>
        <v>4540</v>
      </c>
      <c r="I38" s="15">
        <f>1570+J38</f>
        <v>3065</v>
      </c>
      <c r="J38" s="16">
        <v>1495</v>
      </c>
      <c r="K38" s="13">
        <v>11935</v>
      </c>
      <c r="L38" s="13">
        <v>730</v>
      </c>
    </row>
    <row r="39" spans="1:12" ht="11.25">
      <c r="A39" s="1" t="s">
        <v>33</v>
      </c>
      <c r="C39" s="43">
        <f aca="true" t="shared" si="7" ref="C39:L39">C37-C38</f>
        <v>-13033</v>
      </c>
      <c r="D39" s="43">
        <f t="shared" si="7"/>
        <v>-10392</v>
      </c>
      <c r="E39" s="43">
        <f t="shared" si="7"/>
        <v>-8190</v>
      </c>
      <c r="F39" s="43">
        <f t="shared" si="7"/>
        <v>-3571</v>
      </c>
      <c r="G39" s="44">
        <f t="shared" si="7"/>
        <v>-12918</v>
      </c>
      <c r="H39" s="45">
        <f t="shared" si="7"/>
        <v>-4392</v>
      </c>
      <c r="I39" s="45">
        <f t="shared" si="7"/>
        <v>-5442</v>
      </c>
      <c r="J39" s="46">
        <f t="shared" si="7"/>
        <v>-1328</v>
      </c>
      <c r="K39" s="43">
        <f t="shared" si="7"/>
        <v>-8155</v>
      </c>
      <c r="L39" s="13">
        <f t="shared" si="7"/>
        <v>2344</v>
      </c>
    </row>
    <row r="40" spans="1:12" ht="11.25">
      <c r="A40" s="2" t="s">
        <v>34</v>
      </c>
      <c r="B40" s="2"/>
      <c r="C40" s="47">
        <v>-13020</v>
      </c>
      <c r="D40" s="47">
        <f>E40-2315</f>
        <v>-10506</v>
      </c>
      <c r="E40" s="47">
        <f>F40-4620</f>
        <v>-8191</v>
      </c>
      <c r="F40" s="47">
        <v>-3571</v>
      </c>
      <c r="G40" s="48">
        <f>-9315+H40</f>
        <v>-13712</v>
      </c>
      <c r="H40" s="47">
        <f>1050+I40</f>
        <v>-4397</v>
      </c>
      <c r="I40" s="47">
        <f>-4114+J40</f>
        <v>-5447</v>
      </c>
      <c r="J40" s="49">
        <v>-1333</v>
      </c>
      <c r="K40" s="47">
        <v>-8529</v>
      </c>
      <c r="L40" s="17">
        <v>2314</v>
      </c>
    </row>
    <row r="41" spans="1:10" ht="11.25">
      <c r="A41" s="8" t="s">
        <v>35</v>
      </c>
      <c r="D41" s="13"/>
      <c r="E41" s="13"/>
      <c r="G41" s="20"/>
      <c r="H41" s="21"/>
      <c r="I41" s="21"/>
      <c r="J41" s="22"/>
    </row>
    <row r="42" spans="1:12" ht="11.25">
      <c r="A42" s="1" t="s">
        <v>36</v>
      </c>
      <c r="C42" s="13">
        <v>869</v>
      </c>
      <c r="D42" s="13">
        <v>870</v>
      </c>
      <c r="E42" s="13">
        <v>871</v>
      </c>
      <c r="F42" s="13">
        <v>884</v>
      </c>
      <c r="G42" s="14">
        <v>1232</v>
      </c>
      <c r="H42" s="15">
        <v>245</v>
      </c>
      <c r="I42" s="15">
        <v>268</v>
      </c>
      <c r="J42" s="16">
        <v>520</v>
      </c>
      <c r="K42" s="13">
        <v>516</v>
      </c>
      <c r="L42" s="13">
        <v>293</v>
      </c>
    </row>
    <row r="43" spans="1:12" ht="11.25">
      <c r="A43" s="1" t="s">
        <v>37</v>
      </c>
      <c r="C43" s="13">
        <v>1024</v>
      </c>
      <c r="D43" s="13">
        <v>985</v>
      </c>
      <c r="E43" s="13">
        <v>871</v>
      </c>
      <c r="F43" s="13">
        <v>873</v>
      </c>
      <c r="G43" s="14">
        <v>1038</v>
      </c>
      <c r="H43" s="15">
        <v>251</v>
      </c>
      <c r="I43" s="15">
        <v>268</v>
      </c>
      <c r="J43" s="16">
        <v>475</v>
      </c>
      <c r="K43" s="13">
        <v>470</v>
      </c>
      <c r="L43" s="13">
        <v>304</v>
      </c>
    </row>
    <row r="44" spans="1:12" ht="11.25">
      <c r="A44" s="1" t="s">
        <v>38</v>
      </c>
      <c r="C44" s="23">
        <f aca="true" t="shared" si="8" ref="C44:L44">C42/C13</f>
        <v>0.008285975819062512</v>
      </c>
      <c r="D44" s="23">
        <f t="shared" si="8"/>
        <v>0.008499912069875139</v>
      </c>
      <c r="E44" s="23">
        <f t="shared" si="8"/>
        <v>0.00976621629197735</v>
      </c>
      <c r="F44" s="23">
        <f t="shared" si="8"/>
        <v>0.009771194871228031</v>
      </c>
      <c r="G44" s="24">
        <f t="shared" si="8"/>
        <v>0.014409019672054454</v>
      </c>
      <c r="H44" s="25">
        <f t="shared" si="8"/>
        <v>0.0028662345866772737</v>
      </c>
      <c r="I44" s="25">
        <f t="shared" si="8"/>
        <v>0.003651325649200251</v>
      </c>
      <c r="J44" s="26">
        <f t="shared" si="8"/>
        <v>0.007479646730531342</v>
      </c>
      <c r="K44" s="23">
        <f t="shared" si="8"/>
        <v>0.005464365138197607</v>
      </c>
      <c r="L44" s="23">
        <f t="shared" si="8"/>
        <v>0.003608996625033873</v>
      </c>
    </row>
    <row r="45" spans="1:12" ht="11.25">
      <c r="A45" s="1" t="s">
        <v>39</v>
      </c>
      <c r="C45" s="23">
        <f aca="true" t="shared" si="9" ref="C45:L45">C43/C42</f>
        <v>1.1783659378596087</v>
      </c>
      <c r="D45" s="23">
        <f t="shared" si="9"/>
        <v>1.132183908045977</v>
      </c>
      <c r="E45" s="23">
        <f t="shared" si="9"/>
        <v>1</v>
      </c>
      <c r="F45" s="23">
        <f t="shared" si="9"/>
        <v>0.9875565610859729</v>
      </c>
      <c r="G45" s="24">
        <f t="shared" si="9"/>
        <v>0.8425324675324676</v>
      </c>
      <c r="H45" s="25">
        <f t="shared" si="9"/>
        <v>1.0244897959183674</v>
      </c>
      <c r="I45" s="25">
        <f t="shared" si="9"/>
        <v>1</v>
      </c>
      <c r="J45" s="26">
        <f t="shared" si="9"/>
        <v>0.9134615384615384</v>
      </c>
      <c r="K45" s="23">
        <f t="shared" si="9"/>
        <v>0.9108527131782945</v>
      </c>
      <c r="L45" s="23">
        <f t="shared" si="9"/>
        <v>1.0375426621160408</v>
      </c>
    </row>
    <row r="46" spans="1:12" ht="11.25">
      <c r="A46" s="2" t="s">
        <v>40</v>
      </c>
      <c r="B46" s="2"/>
      <c r="C46" s="27">
        <f aca="true" t="shared" si="10" ref="C46:L46">C43/C13</f>
        <v>0.009763911667111637</v>
      </c>
      <c r="D46" s="27">
        <f t="shared" si="10"/>
        <v>0.009623463665318405</v>
      </c>
      <c r="E46" s="27">
        <f t="shared" si="10"/>
        <v>0.00976621629197735</v>
      </c>
      <c r="F46" s="27">
        <f t="shared" si="10"/>
        <v>0.00964960760473085</v>
      </c>
      <c r="G46" s="28">
        <f t="shared" si="10"/>
        <v>0.012140066899019905</v>
      </c>
      <c r="H46" s="27">
        <f t="shared" si="10"/>
        <v>0.0029364280867591663</v>
      </c>
      <c r="I46" s="27">
        <f t="shared" si="10"/>
        <v>0.003651325649200251</v>
      </c>
      <c r="J46" s="29">
        <f t="shared" si="10"/>
        <v>0.0068323696096199765</v>
      </c>
      <c r="K46" s="27">
        <f t="shared" si="10"/>
        <v>0.004977231811924177</v>
      </c>
      <c r="L46" s="27">
        <f t="shared" si="10"/>
        <v>0.003744487965905452</v>
      </c>
    </row>
    <row r="47" spans="1:10" ht="11.25">
      <c r="A47" s="8" t="s">
        <v>41</v>
      </c>
      <c r="G47" s="20"/>
      <c r="H47" s="21"/>
      <c r="I47" s="21"/>
      <c r="J47" s="22"/>
    </row>
    <row r="48" spans="1:12" ht="11.25">
      <c r="A48" s="1" t="s">
        <v>42</v>
      </c>
      <c r="C48" s="23">
        <f aca="true" t="shared" si="11" ref="C48:L48">C25/(C13+C16)</f>
        <v>0.10327733406774993</v>
      </c>
      <c r="D48" s="23">
        <f t="shared" si="11"/>
        <v>0.014031462784691242</v>
      </c>
      <c r="E48" s="23">
        <f t="shared" si="11"/>
        <v>0.0412671585356605</v>
      </c>
      <c r="F48" s="23">
        <f t="shared" si="11"/>
        <v>0.09006689034684676</v>
      </c>
      <c r="G48" s="24">
        <f t="shared" si="11"/>
        <v>-0.019505124517793147</v>
      </c>
      <c r="H48" s="25">
        <f t="shared" si="11"/>
        <v>0.08547056575782777</v>
      </c>
      <c r="I48" s="25">
        <f t="shared" si="11"/>
        <v>0.08577449671457368</v>
      </c>
      <c r="J48" s="26">
        <f t="shared" si="11"/>
        <v>0.14712776812553433</v>
      </c>
      <c r="K48" s="23">
        <f t="shared" si="11"/>
        <v>0.03557425844195833</v>
      </c>
      <c r="L48" s="23">
        <f t="shared" si="11"/>
        <v>0.17631118665779813</v>
      </c>
    </row>
    <row r="49" spans="1:12" ht="11.25">
      <c r="A49" s="2" t="s">
        <v>43</v>
      </c>
      <c r="B49" s="2"/>
      <c r="C49" s="27">
        <f>C25/C13</f>
        <v>0.11442083984896449</v>
      </c>
      <c r="D49" s="27">
        <f aca="true" t="shared" si="12" ref="D49:L49">D25/D11</f>
        <v>0.00612817483756645</v>
      </c>
      <c r="E49" s="27">
        <f t="shared" si="12"/>
        <v>0.011573567660857095</v>
      </c>
      <c r="F49" s="27">
        <f t="shared" si="12"/>
        <v>0.019464759525123602</v>
      </c>
      <c r="G49" s="28">
        <f t="shared" si="12"/>
        <v>-0.005747281055159101</v>
      </c>
      <c r="H49" s="27">
        <f t="shared" si="12"/>
        <v>0.03703216758699272</v>
      </c>
      <c r="I49" s="27">
        <f t="shared" si="12"/>
        <v>0.03201301429422857</v>
      </c>
      <c r="J49" s="29">
        <f t="shared" si="12"/>
        <v>0.055411012614184595</v>
      </c>
      <c r="K49" s="27">
        <f t="shared" si="12"/>
        <v>0.018396344084880074</v>
      </c>
      <c r="L49" s="27">
        <f t="shared" si="12"/>
        <v>0.06709918153436524</v>
      </c>
    </row>
    <row r="50" spans="1:12" ht="11.25">
      <c r="A50" s="8" t="s">
        <v>44</v>
      </c>
      <c r="F50" s="30"/>
      <c r="G50" s="31"/>
      <c r="H50" s="32"/>
      <c r="I50" s="32"/>
      <c r="J50" s="33"/>
      <c r="K50" s="30"/>
      <c r="L50" s="30"/>
    </row>
    <row r="51" spans="1:12" ht="11.25">
      <c r="A51" s="1" t="s">
        <v>45</v>
      </c>
      <c r="C51" s="30">
        <f aca="true" t="shared" si="13" ref="C51:L51">C12/C17</f>
        <v>0.09336036640508766</v>
      </c>
      <c r="D51" s="30">
        <f t="shared" si="13"/>
        <v>0.10319420587854244</v>
      </c>
      <c r="E51" s="30">
        <f t="shared" si="13"/>
        <v>0.17349431331974546</v>
      </c>
      <c r="F51" s="30">
        <f t="shared" si="13"/>
        <v>0.019801227600098815</v>
      </c>
      <c r="G51" s="31">
        <f t="shared" si="13"/>
        <v>0.04327331233739559</v>
      </c>
      <c r="H51" s="32">
        <f t="shared" si="13"/>
        <v>0.06196526329844599</v>
      </c>
      <c r="I51" s="32">
        <f t="shared" si="13"/>
        <v>0.06427465416995662</v>
      </c>
      <c r="J51" s="33">
        <f t="shared" si="13"/>
        <v>0.10129007321431573</v>
      </c>
      <c r="K51" s="30">
        <f t="shared" si="13"/>
        <v>0.12722216103095055</v>
      </c>
      <c r="L51" s="30">
        <f t="shared" si="13"/>
        <v>0.07131387988266173</v>
      </c>
    </row>
    <row r="52" spans="1:12" ht="11.25">
      <c r="A52" s="1" t="s">
        <v>46</v>
      </c>
      <c r="C52" s="30">
        <f aca="true" t="shared" si="14" ref="C52:L52">C12/C11</f>
        <v>0.08934868125333281</v>
      </c>
      <c r="D52" s="30">
        <f t="shared" si="14"/>
        <v>0.10128306097000722</v>
      </c>
      <c r="E52" s="30">
        <f t="shared" si="14"/>
        <v>0.1694104134762634</v>
      </c>
      <c r="F52" s="30">
        <f t="shared" si="14"/>
        <v>0.019249998268054378</v>
      </c>
      <c r="G52" s="31">
        <f t="shared" si="14"/>
        <v>0.04251104728979883</v>
      </c>
      <c r="H52" s="32">
        <f t="shared" si="14"/>
        <v>0.05875478423466854</v>
      </c>
      <c r="I52" s="32">
        <f t="shared" si="14"/>
        <v>0.06124143860711878</v>
      </c>
      <c r="J52" s="33">
        <f t="shared" si="14"/>
        <v>0.09390271134861161</v>
      </c>
      <c r="K52" s="30">
        <f t="shared" si="14"/>
        <v>0.12261221716815193</v>
      </c>
      <c r="L52" s="30">
        <f t="shared" si="14"/>
        <v>0.06495692039413854</v>
      </c>
    </row>
    <row r="53" spans="1:12" ht="11.25">
      <c r="A53" s="2" t="s">
        <v>47</v>
      </c>
      <c r="B53" s="2"/>
      <c r="C53" s="34">
        <f aca="true" t="shared" si="15" ref="C53:L53">(C12+C16)/C17</f>
        <v>0.12637183115026693</v>
      </c>
      <c r="D53" s="34">
        <f t="shared" si="15"/>
        <v>0.12041692264613815</v>
      </c>
      <c r="E53" s="34">
        <f t="shared" si="15"/>
        <v>0.18319045322297076</v>
      </c>
      <c r="F53" s="34">
        <f t="shared" si="15"/>
        <v>0.027202934078254755</v>
      </c>
      <c r="G53" s="35">
        <f t="shared" si="15"/>
        <v>0.05051691085855128</v>
      </c>
      <c r="H53" s="34">
        <f t="shared" si="15"/>
        <v>0.07993960620782449</v>
      </c>
      <c r="I53" s="34">
        <f t="shared" si="15"/>
        <v>0.07965627211107579</v>
      </c>
      <c r="J53" s="36">
        <f t="shared" si="15"/>
        <v>0.11809519541556267</v>
      </c>
      <c r="K53" s="34">
        <f t="shared" si="15"/>
        <v>0.1437438043837427</v>
      </c>
      <c r="L53" s="34">
        <f t="shared" si="15"/>
        <v>0.07131387988266173</v>
      </c>
    </row>
    <row r="54" spans="1:10" ht="11.25">
      <c r="A54" s="8" t="s">
        <v>48</v>
      </c>
      <c r="G54" s="20"/>
      <c r="H54" s="21"/>
      <c r="I54" s="21"/>
      <c r="J54" s="22"/>
    </row>
    <row r="55" spans="1:12" ht="11.25">
      <c r="A55" s="1" t="s">
        <v>49</v>
      </c>
      <c r="B55" s="21"/>
      <c r="C55" s="37">
        <f>C40/C28</f>
        <v>-0.12776605662136303</v>
      </c>
      <c r="D55" s="37">
        <f>(D40/0.75)/D28</f>
        <v>-0.14333880779522443</v>
      </c>
      <c r="E55" s="23">
        <f>(E40/0.5)/E28</f>
        <v>-0.19421573334755984</v>
      </c>
      <c r="F55" s="23">
        <f>((F40)/0.25)/F28</f>
        <v>-0.1719844920172418</v>
      </c>
      <c r="G55" s="38">
        <f>G40/G28</f>
        <v>-0.14819938610522676</v>
      </c>
      <c r="H55" s="37">
        <f>(H40/0.75)/H28</f>
        <v>-0.06912340067637807</v>
      </c>
      <c r="I55" s="37">
        <f>(I40/0.5)/I28</f>
        <v>-0.12688244680231542</v>
      </c>
      <c r="J55" s="26">
        <f>((J40)/0.25)/J28</f>
        <v>-0.07043779227984888</v>
      </c>
      <c r="K55" s="23">
        <f>K40/K28</f>
        <v>-0.09550096295964527</v>
      </c>
      <c r="L55" s="23">
        <f>L40/L28</f>
        <v>0.0031706491609563466</v>
      </c>
    </row>
    <row r="56" spans="1:12" ht="11.25">
      <c r="A56" s="1" t="s">
        <v>50</v>
      </c>
      <c r="B56" s="21"/>
      <c r="C56" s="37">
        <f>C40/C27</f>
        <v>-0.03972303707330914</v>
      </c>
      <c r="D56" s="37">
        <f>(D40/0.75)/D27</f>
        <v>-0.06237504285835148</v>
      </c>
      <c r="E56" s="23">
        <f>(E40/0.5)/E27</f>
        <v>-0.0613776437309155</v>
      </c>
      <c r="F56" s="23">
        <f>((F40)/0.25)/F27</f>
        <v>-0.04566496163682864</v>
      </c>
      <c r="G56" s="38">
        <f>G40/G27</f>
        <v>-0.0564552818749807</v>
      </c>
      <c r="H56" s="37">
        <f>(H40/0.75)/H27</f>
        <v>-0.02929004774537576</v>
      </c>
      <c r="I56" s="37">
        <f>(I40/0.5)/I27</f>
        <v>-0.049007942309725334</v>
      </c>
      <c r="J56" s="26">
        <f>((J40)/0.25)/J27</f>
        <v>-0.025307503731812606</v>
      </c>
      <c r="K56" s="23">
        <f>K40/K27</f>
        <v>-0.04246103755479386</v>
      </c>
      <c r="L56" s="23">
        <f>L40/L27</f>
        <v>0.0022176901520756585</v>
      </c>
    </row>
    <row r="57" spans="1:12" ht="11.25">
      <c r="A57" s="1" t="s">
        <v>51</v>
      </c>
      <c r="B57" s="21"/>
      <c r="C57" s="37">
        <f>+C40/C31</f>
        <v>-2.530366339519969</v>
      </c>
      <c r="D57" s="37">
        <f>(D40/0.75)/D31</f>
        <v>-3.0790196724914827</v>
      </c>
      <c r="E57" s="23">
        <f>(E40/0.5)/E31</f>
        <v>-3.161937849835939</v>
      </c>
      <c r="F57" s="23">
        <f>((F40)/0.25)/F31</f>
        <v>-1.4957851196397718</v>
      </c>
      <c r="G57" s="38">
        <f>+G40/G31</f>
        <v>-15.608423449060899</v>
      </c>
      <c r="H57" s="37">
        <f>(H40/0.75)/H31</f>
        <v>-0.8918637965568825</v>
      </c>
      <c r="I57" s="37">
        <f>(I40/0.5)/I31</f>
        <v>-1.1176772340207244</v>
      </c>
      <c r="J57" s="26">
        <f>((J40)/0.25)/J31</f>
        <v>-0.46866485013623976</v>
      </c>
      <c r="K57" s="23">
        <f>K40/K31</f>
        <v>-0.959392575928009</v>
      </c>
      <c r="L57" s="23">
        <f>L40/L31</f>
        <v>0.10752288462432043</v>
      </c>
    </row>
    <row r="58" spans="1:12" ht="11.25">
      <c r="A58" s="1" t="s">
        <v>52</v>
      </c>
      <c r="B58" s="21"/>
      <c r="C58" s="37">
        <f>C33/C28</f>
        <v>0.06341200137382856</v>
      </c>
      <c r="D58" s="37">
        <f>(D33/0.75)/D28</f>
        <v>0.07023683443078386</v>
      </c>
      <c r="E58" s="23">
        <f>(E33/0.5)/E28</f>
        <v>0.08417358727674734</v>
      </c>
      <c r="F58" s="23">
        <f>((F33)/0.25)/F28</f>
        <v>0.08476412936162014</v>
      </c>
      <c r="G58" s="38">
        <f>G33/G28</f>
        <v>0.07944965630539104</v>
      </c>
      <c r="H58" s="37">
        <f>(H33/0.75)/H28</f>
        <v>0.08693482050042543</v>
      </c>
      <c r="I58" s="37">
        <f>(I33/0.5)/I28</f>
        <v>0.08339253893010634</v>
      </c>
      <c r="J58" s="26">
        <f>((J33)/0.25)/J28</f>
        <v>0.10066316151021162</v>
      </c>
      <c r="K58" s="23">
        <f>K33/K28</f>
        <v>0.07902987414341381</v>
      </c>
      <c r="L58" s="23">
        <f>L33/L27</f>
        <v>0.014412110850005941</v>
      </c>
    </row>
    <row r="59" spans="1:12" ht="11.25">
      <c r="A59" s="1" t="s">
        <v>53</v>
      </c>
      <c r="B59" s="21"/>
      <c r="C59" s="37">
        <f>C34/C28</f>
        <v>0.11612776605662137</v>
      </c>
      <c r="D59" s="37">
        <f>(D34/0.75)/D28</f>
        <v>0.1373493030720088</v>
      </c>
      <c r="E59" s="23">
        <f>(E34/0.5)/E28</f>
        <v>0.19073023550821286</v>
      </c>
      <c r="F59" s="23">
        <f>((F34)/0.25)/F28</f>
        <v>0.20314494184506465</v>
      </c>
      <c r="G59" s="38">
        <f>G34/G28</f>
        <v>0.14786433790151746</v>
      </c>
      <c r="H59" s="37">
        <f>(H34/0.75)/H28</f>
        <v>0.15742591184290422</v>
      </c>
      <c r="I59" s="37">
        <f>(I34/0.5)/I28</f>
        <v>0.1453545929954926</v>
      </c>
      <c r="J59" s="26">
        <f>((J34)/0.25)/J28</f>
        <v>0.17236915110042536</v>
      </c>
      <c r="K59" s="23">
        <f>K34/K28</f>
        <v>0.11614860930711694</v>
      </c>
      <c r="L59" s="23">
        <f>L34/L27</f>
        <v>0.01201041183483671</v>
      </c>
    </row>
    <row r="60" spans="1:12" ht="11.25">
      <c r="A60" s="1" t="s">
        <v>54</v>
      </c>
      <c r="B60" s="21"/>
      <c r="C60" s="37">
        <f>C35/C28</f>
        <v>-0.0527157646827928</v>
      </c>
      <c r="D60" s="37">
        <f>(D35/0.75)/D28</f>
        <v>-0.06711246864122491</v>
      </c>
      <c r="E60" s="23">
        <f>(E35/0.5)/E28</f>
        <v>-0.1065566482314655</v>
      </c>
      <c r="F60" s="23">
        <f>((F35)/0.25)/F28</f>
        <v>-0.11838081248344451</v>
      </c>
      <c r="G60" s="38">
        <f>G35/G28</f>
        <v>-0.06841468159612642</v>
      </c>
      <c r="H60" s="37">
        <f>(H35/0.75)/H28</f>
        <v>-0.07049109134247879</v>
      </c>
      <c r="I60" s="37">
        <f>(I35/0.5)/I28</f>
        <v>-0.061962054065386275</v>
      </c>
      <c r="J60" s="26">
        <f>((J35)/0.25)/J28</f>
        <v>-0.07170598959021375</v>
      </c>
      <c r="K60" s="23">
        <f>K35/K28</f>
        <v>-0.03711873516370314</v>
      </c>
      <c r="L60" s="23">
        <f>L35/L27</f>
        <v>0.0024016990151692306</v>
      </c>
    </row>
    <row r="61" spans="1:12" ht="11.25">
      <c r="A61" s="1" t="s">
        <v>55</v>
      </c>
      <c r="B61" s="21"/>
      <c r="C61" s="37">
        <f>C38/C37</f>
        <v>-1.786615351721189</v>
      </c>
      <c r="D61" s="37">
        <f>(D38/0.75)/(D37/0.75)</f>
        <v>-1.3851273812256142</v>
      </c>
      <c r="E61" s="23">
        <f>(E38/0.5)/(E37/0.5)</f>
        <v>-1.0093228655544653</v>
      </c>
      <c r="F61" s="23">
        <f>(F38/0.25)/(F37/0.25)</f>
        <v>-0.6671335200746965</v>
      </c>
      <c r="G61" s="38">
        <f>G38/G37</f>
        <v>-16.57551020408163</v>
      </c>
      <c r="H61" s="37">
        <f>(H38/0.75)/(H37/0.75)</f>
        <v>30.675675675675674</v>
      </c>
      <c r="I61" s="37">
        <f>(I38/0.5)/(I37/0.5)</f>
        <v>-1.2894404711821623</v>
      </c>
      <c r="J61" s="26">
        <f>(J38/0.25)/(J37/0.25)</f>
        <v>8.952095808383234</v>
      </c>
      <c r="K61" s="23">
        <f>K38/K37</f>
        <v>3.1574074074074074</v>
      </c>
      <c r="L61" s="23">
        <f>L38/L37</f>
        <v>0.23747560182173064</v>
      </c>
    </row>
    <row r="62" spans="1:12" ht="11.25">
      <c r="A62" s="2" t="s">
        <v>56</v>
      </c>
      <c r="B62" s="2"/>
      <c r="C62" s="39">
        <f>C36/C28</f>
        <v>0.006820077523183357</v>
      </c>
      <c r="D62" s="39">
        <f>(D36/0.75)/D28</f>
        <v>0.007667657527214556</v>
      </c>
      <c r="E62" s="27">
        <f>(E36/0.5)/E28</f>
        <v>0.009911143515966307</v>
      </c>
      <c r="F62" s="27">
        <f>(F36/0.25)/F28</f>
        <v>0.015219014135381799</v>
      </c>
      <c r="G62" s="40">
        <f>G36/G28</f>
        <v>0.060470796766244436</v>
      </c>
      <c r="H62" s="39">
        <f>(H36/0.75)/H28</f>
        <v>0.07281773753308692</v>
      </c>
      <c r="I62" s="39">
        <f>(I36/0.5)/I28</f>
        <v>0.006592203496430193</v>
      </c>
      <c r="J62" s="29">
        <f>(J36/0.25)/J28</f>
        <v>0.0805305292081693</v>
      </c>
      <c r="K62" s="27">
        <f>K36/K28</f>
        <v>0.07944417073498455</v>
      </c>
      <c r="L62" s="27">
        <f>L36/L27</f>
        <v>0.0005443595533184848</v>
      </c>
    </row>
    <row r="63" spans="1:10" ht="11.25">
      <c r="A63" s="8" t="s">
        <v>57</v>
      </c>
      <c r="G63" s="20"/>
      <c r="H63" s="21"/>
      <c r="I63" s="21"/>
      <c r="J63" s="22"/>
    </row>
    <row r="64" spans="1:12" ht="11.25">
      <c r="A64" s="1" t="s">
        <v>58</v>
      </c>
      <c r="C64" s="13">
        <v>118</v>
      </c>
      <c r="D64" s="13">
        <v>133</v>
      </c>
      <c r="E64" s="13">
        <v>127</v>
      </c>
      <c r="F64" s="13">
        <v>126</v>
      </c>
      <c r="G64" s="14">
        <v>124</v>
      </c>
      <c r="H64" s="15">
        <v>122</v>
      </c>
      <c r="I64" s="15">
        <v>113</v>
      </c>
      <c r="J64" s="16">
        <v>122</v>
      </c>
      <c r="K64" s="13">
        <v>118</v>
      </c>
      <c r="L64" s="13">
        <v>109</v>
      </c>
    </row>
    <row r="65" spans="1:12" ht="11.25">
      <c r="A65" s="1" t="s">
        <v>59</v>
      </c>
      <c r="C65" s="13">
        <v>1</v>
      </c>
      <c r="D65" s="13">
        <v>1</v>
      </c>
      <c r="E65" s="13">
        <v>1</v>
      </c>
      <c r="F65" s="13">
        <v>1</v>
      </c>
      <c r="G65" s="14">
        <v>1</v>
      </c>
      <c r="H65" s="15">
        <v>1</v>
      </c>
      <c r="I65" s="15">
        <v>1</v>
      </c>
      <c r="J65" s="16">
        <v>1</v>
      </c>
      <c r="K65" s="13">
        <v>1</v>
      </c>
      <c r="L65" s="13">
        <v>1</v>
      </c>
    </row>
    <row r="66" spans="1:12" ht="11.25">
      <c r="A66" s="1" t="s">
        <v>60</v>
      </c>
      <c r="C66" s="13">
        <f aca="true" t="shared" si="16" ref="C66:L66">C13/C64</f>
        <v>888.7796610169491</v>
      </c>
      <c r="D66" s="13">
        <f t="shared" si="16"/>
        <v>769.578947368421</v>
      </c>
      <c r="E66" s="13">
        <f t="shared" si="16"/>
        <v>702.2440944881889</v>
      </c>
      <c r="F66" s="13">
        <f t="shared" si="16"/>
        <v>718.015873015873</v>
      </c>
      <c r="G66" s="14">
        <f t="shared" si="16"/>
        <v>689.5322580645161</v>
      </c>
      <c r="H66" s="15">
        <f t="shared" si="16"/>
        <v>700.639344262295</v>
      </c>
      <c r="I66" s="15">
        <f t="shared" si="16"/>
        <v>649.5398230088496</v>
      </c>
      <c r="J66" s="16">
        <f t="shared" si="16"/>
        <v>569.8524590163935</v>
      </c>
      <c r="K66" s="13">
        <f t="shared" si="16"/>
        <v>800.2542372881356</v>
      </c>
      <c r="L66" s="13">
        <f t="shared" si="16"/>
        <v>744.8256880733945</v>
      </c>
    </row>
    <row r="67" spans="1:12" ht="11.25">
      <c r="A67" s="1" t="s">
        <v>61</v>
      </c>
      <c r="C67" s="13">
        <f aca="true" t="shared" si="17" ref="C67:L67">C17/C64</f>
        <v>2905</v>
      </c>
      <c r="D67" s="13">
        <f t="shared" si="17"/>
        <v>1799.0751879699249</v>
      </c>
      <c r="E67" s="13">
        <f t="shared" si="17"/>
        <v>2530.433070866142</v>
      </c>
      <c r="F67" s="13">
        <f t="shared" si="17"/>
        <v>3341.1428571428573</v>
      </c>
      <c r="G67" s="14">
        <f t="shared" si="17"/>
        <v>2355.8064516129034</v>
      </c>
      <c r="H67" s="15">
        <f t="shared" si="17"/>
        <v>1596.0819672131147</v>
      </c>
      <c r="I67" s="15">
        <f t="shared" si="17"/>
        <v>1726</v>
      </c>
      <c r="J67" s="16">
        <f t="shared" si="17"/>
        <v>1463.2540983606557</v>
      </c>
      <c r="K67" s="13">
        <f t="shared" si="17"/>
        <v>1538.8135593220338</v>
      </c>
      <c r="L67" s="13">
        <f t="shared" si="17"/>
        <v>1782.6605504587155</v>
      </c>
    </row>
    <row r="68" spans="1:12" ht="11.25">
      <c r="A68" s="2" t="s">
        <v>62</v>
      </c>
      <c r="B68" s="2"/>
      <c r="C68" s="47">
        <f aca="true" t="shared" si="18" ref="C68:L68">(C40/C64)</f>
        <v>-110.33898305084746</v>
      </c>
      <c r="D68" s="47">
        <f t="shared" si="18"/>
        <v>-78.99248120300751</v>
      </c>
      <c r="E68" s="47">
        <f t="shared" si="18"/>
        <v>-64.49606299212599</v>
      </c>
      <c r="F68" s="47">
        <f t="shared" si="18"/>
        <v>-28.341269841269842</v>
      </c>
      <c r="G68" s="48">
        <f t="shared" si="18"/>
        <v>-110.58064516129032</v>
      </c>
      <c r="H68" s="47">
        <f t="shared" si="18"/>
        <v>-36.040983606557376</v>
      </c>
      <c r="I68" s="47">
        <f t="shared" si="18"/>
        <v>-48.203539823008846</v>
      </c>
      <c r="J68" s="49">
        <f t="shared" si="18"/>
        <v>-10.926229508196721</v>
      </c>
      <c r="K68" s="47">
        <f t="shared" si="18"/>
        <v>-72.27966101694915</v>
      </c>
      <c r="L68" s="17">
        <f t="shared" si="18"/>
        <v>21.229357798165136</v>
      </c>
    </row>
    <row r="69" spans="1:10" ht="11.25">
      <c r="A69" s="8" t="s">
        <v>63</v>
      </c>
      <c r="G69" s="20"/>
      <c r="H69" s="21"/>
      <c r="I69" s="21"/>
      <c r="J69" s="22"/>
    </row>
    <row r="70" spans="1:12" ht="11.25">
      <c r="A70" s="1" t="s">
        <v>64</v>
      </c>
      <c r="C70" s="23">
        <f>(C11/G11)-1</f>
        <v>0.20454469023870225</v>
      </c>
      <c r="D70" s="23">
        <f>(D11/H11)-1</f>
        <v>0.1871329652029099</v>
      </c>
      <c r="E70" s="23">
        <f>(E11/I11)-1</f>
        <v>0.6077929437512823</v>
      </c>
      <c r="F70" s="23">
        <f>(F11/J11)-1</f>
        <v>1.2488406271259498</v>
      </c>
      <c r="G70" s="24">
        <f>(G11/K11)-1</f>
        <v>0.578274692553886</v>
      </c>
      <c r="H70" s="25">
        <f>(H11/194955)-1</f>
        <v>0.053381549588366495</v>
      </c>
      <c r="I70" s="25">
        <f>(I11/239883)-1</f>
        <v>-0.14667567105630663</v>
      </c>
      <c r="J70" s="26">
        <f>(J11/228816)-1</f>
        <v>-0.15844608768617574</v>
      </c>
      <c r="K70" s="23">
        <f>(K11/L11)-1</f>
        <v>-0.11681182790658429</v>
      </c>
      <c r="L70" s="23">
        <f>(L11/1873530)-1</f>
        <v>-0.8861368646352074</v>
      </c>
    </row>
    <row r="71" spans="1:12" ht="11.25">
      <c r="A71" s="1" t="s">
        <v>65</v>
      </c>
      <c r="C71" s="23">
        <f aca="true" t="shared" si="19" ref="C71:E72">(C13/G13)-1</f>
        <v>0.22659119084933677</v>
      </c>
      <c r="D71" s="23">
        <f t="shared" si="19"/>
        <v>0.19743091789700284</v>
      </c>
      <c r="E71" s="23">
        <f t="shared" si="19"/>
        <v>0.21508760456688192</v>
      </c>
      <c r="F71" s="23">
        <f>F13/J13-1</f>
        <v>0.3013146917522511</v>
      </c>
      <c r="G71" s="24">
        <f>(G13/K13)-1</f>
        <v>-0.09454622471672136</v>
      </c>
      <c r="H71" s="25">
        <f>H13/78651-1</f>
        <v>0.08680118498175493</v>
      </c>
      <c r="I71" s="25">
        <f>I13/93320</f>
        <v>0.7865195027861123</v>
      </c>
      <c r="J71" s="26">
        <f>J13/76874-1</f>
        <v>-0.09563701641647371</v>
      </c>
      <c r="K71" s="23">
        <f>(K13/L13)-1</f>
        <v>0.16313157440938086</v>
      </c>
      <c r="L71" s="23">
        <f>L13/939381-1</f>
        <v>-0.9135750031137526</v>
      </c>
    </row>
    <row r="72" spans="2:12" ht="11.25">
      <c r="B72" s="1" t="s">
        <v>16</v>
      </c>
      <c r="C72" s="23">
        <f t="shared" si="19"/>
        <v>0.22659119084933677</v>
      </c>
      <c r="D72" s="23">
        <f t="shared" si="19"/>
        <v>0.19743091789700284</v>
      </c>
      <c r="E72" s="23">
        <f t="shared" si="19"/>
        <v>0.21508760456688192</v>
      </c>
      <c r="F72" s="23">
        <f>(F14/J14)-1</f>
        <v>0.3013146917522511</v>
      </c>
      <c r="G72" s="24">
        <f>(G14/K14)-1</f>
        <v>-0.09454622471672136</v>
      </c>
      <c r="H72" s="25">
        <f>(H14/78651)-1</f>
        <v>0.08680118498175493</v>
      </c>
      <c r="I72" s="25">
        <f>(I14/93320)-1</f>
        <v>-0.21348049721388773</v>
      </c>
      <c r="J72" s="26">
        <f>(J14/76874)-1</f>
        <v>-0.09563701641647371</v>
      </c>
      <c r="K72" s="23">
        <f>(K14/L14)-1</f>
        <v>0.16313157440938086</v>
      </c>
      <c r="L72" s="23">
        <f>(L14/85046)-1</f>
        <v>-0.045387202219975054</v>
      </c>
    </row>
    <row r="73" spans="2:12" ht="11.25">
      <c r="B73" s="1" t="s">
        <v>17</v>
      </c>
      <c r="C73" s="23">
        <v>0</v>
      </c>
      <c r="D73" s="23">
        <v>0</v>
      </c>
      <c r="E73" s="23">
        <v>0</v>
      </c>
      <c r="F73" s="23">
        <v>0</v>
      </c>
      <c r="G73" s="24">
        <v>0</v>
      </c>
      <c r="H73" s="25">
        <v>0</v>
      </c>
      <c r="I73" s="25">
        <v>0</v>
      </c>
      <c r="J73" s="26">
        <v>0</v>
      </c>
      <c r="K73" s="23">
        <v>0</v>
      </c>
      <c r="L73" s="23">
        <f>(L15/904334)-1</f>
        <v>-1</v>
      </c>
    </row>
    <row r="74" spans="1:12" ht="11.25">
      <c r="A74" s="1" t="s">
        <v>66</v>
      </c>
      <c r="C74" s="23">
        <f aca="true" t="shared" si="20" ref="C74:G75">(C17/G17)-1</f>
        <v>0.17345611392578397</v>
      </c>
      <c r="D74" s="23">
        <f t="shared" si="20"/>
        <v>0.22881338523638828</v>
      </c>
      <c r="E74" s="23">
        <f t="shared" si="20"/>
        <v>0.6477045498825871</v>
      </c>
      <c r="F74" s="23">
        <f t="shared" si="20"/>
        <v>1.3582291882565807</v>
      </c>
      <c r="G74" s="24">
        <f t="shared" si="20"/>
        <v>0.6087674854058818</v>
      </c>
      <c r="H74" s="25">
        <f>H17/186878-1</f>
        <v>0.041973908111174074</v>
      </c>
      <c r="I74" s="25">
        <f>I17/224291-1</f>
        <v>-0.13042431484098782</v>
      </c>
      <c r="J74" s="26">
        <f>J17/213849-1</f>
        <v>-0.1652193837707916</v>
      </c>
      <c r="K74" s="23">
        <f>(K17/L17)-1</f>
        <v>-0.06551386958983063</v>
      </c>
      <c r="L74" s="23">
        <f>L17/1826822-1</f>
        <v>-0.8936349573193229</v>
      </c>
    </row>
    <row r="75" spans="2:12" ht="11.25">
      <c r="B75" s="1" t="s">
        <v>16</v>
      </c>
      <c r="C75" s="23">
        <f t="shared" si="20"/>
        <v>0.17345611392578397</v>
      </c>
      <c r="D75" s="23">
        <f t="shared" si="20"/>
        <v>0.22881338523638828</v>
      </c>
      <c r="E75" s="23">
        <f t="shared" si="20"/>
        <v>0.6477045498825871</v>
      </c>
      <c r="F75" s="23">
        <f t="shared" si="20"/>
        <v>1.3582291882565807</v>
      </c>
      <c r="G75" s="24">
        <f t="shared" si="20"/>
        <v>0.6087674854058818</v>
      </c>
      <c r="H75" s="25">
        <f>(H18/186878)-1</f>
        <v>0.041973908111174074</v>
      </c>
      <c r="I75" s="25">
        <f>(I18/224291)-1</f>
        <v>-0.13042431484098782</v>
      </c>
      <c r="J75" s="26">
        <f>(J18/213849)-1</f>
        <v>-0.1652193837707916</v>
      </c>
      <c r="K75" s="23">
        <f>(K18/L18)-1</f>
        <v>-0.06551386958983063</v>
      </c>
      <c r="L75" s="23">
        <f>(L18/214108)-1</f>
        <v>-0.09246735292469221</v>
      </c>
    </row>
    <row r="76" spans="2:12" ht="11.25">
      <c r="B76" s="1" t="s">
        <v>17</v>
      </c>
      <c r="C76" s="23">
        <v>0</v>
      </c>
      <c r="D76" s="23">
        <v>0</v>
      </c>
      <c r="E76" s="23">
        <v>0</v>
      </c>
      <c r="F76" s="23">
        <v>0</v>
      </c>
      <c r="G76" s="24">
        <v>0</v>
      </c>
      <c r="H76" s="25">
        <v>0</v>
      </c>
      <c r="I76" s="25">
        <v>0</v>
      </c>
      <c r="J76" s="26">
        <v>0</v>
      </c>
      <c r="K76" s="23">
        <v>0</v>
      </c>
      <c r="L76" s="23">
        <f>(L22/1612714)-1</f>
        <v>-1</v>
      </c>
    </row>
    <row r="77" spans="1:12" ht="11.25">
      <c r="A77" s="1" t="s">
        <v>67</v>
      </c>
      <c r="C77" s="23">
        <f>(C25/G25)-1</f>
        <v>-8.021650087770627</v>
      </c>
      <c r="D77" s="23">
        <f>(D25/H25)-1</f>
        <v>-0.8035502958579882</v>
      </c>
      <c r="E77" s="23">
        <f>(E25/I25)-1</f>
        <v>-0.41873950862200515</v>
      </c>
      <c r="F77" s="23">
        <f>(F25/J25)-1</f>
        <v>-0.21002811621368322</v>
      </c>
      <c r="G77" s="24">
        <f>(G25/K25)-1</f>
        <v>-1.493075591459896</v>
      </c>
      <c r="H77" s="25">
        <f>(H25/5542)-1</f>
        <v>0.37224828581739455</v>
      </c>
      <c r="I77" s="25">
        <f>(I25/12941)-1</f>
        <v>-0.4936249130669964</v>
      </c>
      <c r="J77" s="26">
        <f>(J25/12084)-1</f>
        <v>-0.11701423369745112</v>
      </c>
      <c r="K77" s="23">
        <f>(K25/L25)-1</f>
        <v>-0.757859438312142</v>
      </c>
      <c r="L77" s="23">
        <f>(L25/28728)-1</f>
        <v>-0.501740462266778</v>
      </c>
    </row>
    <row r="78" spans="1:12" ht="11.25">
      <c r="A78" s="2" t="s">
        <v>68</v>
      </c>
      <c r="B78" s="2"/>
      <c r="C78" s="27">
        <v>0</v>
      </c>
      <c r="D78" s="27">
        <f>(D40/H40)-1</f>
        <v>1.3893563793495565</v>
      </c>
      <c r="E78" s="27">
        <f>(E40/I40)-1</f>
        <v>0.5037635395630622</v>
      </c>
      <c r="F78" s="27">
        <f>(F40/J40)-1</f>
        <v>1.678919729932483</v>
      </c>
      <c r="G78" s="28">
        <f>(G40/K40)-1</f>
        <v>0.6076914057920038</v>
      </c>
      <c r="H78" s="27">
        <f>(H40/-6454)-1</f>
        <v>-0.31871707468236754</v>
      </c>
      <c r="I78" s="27">
        <f>(I40/943)-1</f>
        <v>-6.776246023329798</v>
      </c>
      <c r="J78" s="29">
        <f>(J40/84)-1</f>
        <v>-16.86904761904762</v>
      </c>
      <c r="K78" s="27">
        <f>(K40/L40)-1</f>
        <v>-4.685825410544512</v>
      </c>
      <c r="L78" s="27">
        <f>(L40/12319)-1</f>
        <v>-0.8121600779284033</v>
      </c>
    </row>
  </sheetData>
  <sheetProtection password="CD66" sheet="1" objects="1" scenarios="1"/>
  <mergeCells count="7">
    <mergeCell ref="C2:I2"/>
    <mergeCell ref="C5:I5"/>
    <mergeCell ref="G8:J8"/>
    <mergeCell ref="K8:L8"/>
    <mergeCell ref="C8:F8"/>
    <mergeCell ref="C4:I4"/>
    <mergeCell ref="C3:I3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4847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2002-03-19T20:32:36Z</dcterms:created>
  <dcterms:modified xsi:type="dcterms:W3CDTF">2002-07-12T14:06:43Z</dcterms:modified>
  <cp:category/>
  <cp:version/>
  <cp:contentType/>
  <cp:contentStatus/>
</cp:coreProperties>
</file>