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Unibanca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<sst xmlns="http://schemas.openxmlformats.org/spreadsheetml/2006/main" count="84" uniqueCount="68">
  <si>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No. 18-34</t>
  </si>
  <si>
    <t>UNIBANCA, BANCO UNIVERSAL, C.A.</t>
  </si>
  <si>
    <t>ESTADISTICA FINANCIERA. AÑO  1999, TRIMESTRES DE 2000 Y 2001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</si>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</sst>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_(* #,##0.0_);_(* \(#,##0.0\);_(* &quot;-&quot;??_);_(@_)"/>
    <numFmt numFmtId="189" formatCode="_(* #,##0_);_(* \(#,##0\);_(* &quot;-&quot;??_);_(@_)"/>
    <numFmt numFmtId="190" formatCode="_(* #,##0.000_);_(* \(#,##0.000\);_(* &quot;-&quot;??_);_(@_)"/>
    <numFmt numFmtId="191" formatCode="0.0%"/>
    <numFmt numFmtId="192" formatCode="_(* #,##0.0000_);_(* \(#,##0.0000\);_(* &quot;-&quot;??_);_(@_)"/>
    <numFmt numFmtId="193" formatCode="0.00000"/>
    <numFmt numFmtId="194" formatCode="0.0000"/>
    <numFmt numFmtId="195" formatCode="0.000"/>
    <numFmt numFmtId="196" formatCode="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189" fontId="1" fillId="0" borderId="0" xfId="15" applyNumberFormat="1" applyFont="1" applyAlignment="1">
      <alignment/>
    </xf>
    <xf numFmtId="189" fontId="1" fillId="0" borderId="6" xfId="15" applyNumberFormat="1" applyFont="1" applyBorder="1" applyAlignment="1">
      <alignment/>
    </xf>
    <xf numFmtId="189" fontId="1" fillId="0" borderId="0" xfId="15" applyNumberFormat="1" applyFont="1" applyBorder="1" applyAlignment="1">
      <alignment/>
    </xf>
    <xf numFmtId="189" fontId="1" fillId="0" borderId="7" xfId="15" applyNumberFormat="1" applyFont="1" applyBorder="1" applyAlignment="1">
      <alignment/>
    </xf>
    <xf numFmtId="189" fontId="2" fillId="0" borderId="0" xfId="15" applyNumberFormat="1" applyFont="1" applyAlignment="1">
      <alignment/>
    </xf>
    <xf numFmtId="189" fontId="2" fillId="0" borderId="6" xfId="15" applyNumberFormat="1" applyFont="1" applyBorder="1" applyAlignment="1">
      <alignment/>
    </xf>
    <xf numFmtId="189" fontId="2" fillId="0" borderId="0" xfId="15" applyNumberFormat="1" applyFont="1" applyBorder="1" applyAlignment="1">
      <alignment/>
    </xf>
    <xf numFmtId="189" fontId="2" fillId="0" borderId="7" xfId="15" applyNumberFormat="1" applyFont="1" applyBorder="1" applyAlignment="1">
      <alignment/>
    </xf>
    <xf numFmtId="189" fontId="2" fillId="0" borderId="1" xfId="15" applyNumberFormat="1" applyFont="1" applyBorder="1" applyAlignment="1">
      <alignment/>
    </xf>
    <xf numFmtId="189" fontId="2" fillId="0" borderId="4" xfId="15" applyNumberFormat="1" applyFont="1" applyBorder="1" applyAlignment="1">
      <alignment/>
    </xf>
    <xf numFmtId="189" fontId="2" fillId="0" borderId="5" xfId="15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89" fontId="2" fillId="0" borderId="0" xfId="0" applyNumberFormat="1" applyFont="1" applyAlignment="1">
      <alignment/>
    </xf>
    <xf numFmtId="189" fontId="2" fillId="0" borderId="1" xfId="0" applyNumberFormat="1" applyFont="1" applyBorder="1" applyAlignment="1">
      <alignment/>
    </xf>
    <xf numFmtId="188" fontId="2" fillId="0" borderId="0" xfId="15" applyNumberFormat="1" applyFont="1" applyAlignment="1">
      <alignment/>
    </xf>
    <xf numFmtId="10" fontId="2" fillId="0" borderId="0" xfId="19" applyNumberFormat="1" applyFont="1" applyAlignment="1">
      <alignment/>
    </xf>
    <xf numFmtId="10" fontId="2" fillId="0" borderId="6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7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91" fontId="2" fillId="0" borderId="0" xfId="19" applyNumberFormat="1" applyFont="1" applyAlignment="1">
      <alignment/>
    </xf>
    <xf numFmtId="191" fontId="2" fillId="0" borderId="6" xfId="19" applyNumberFormat="1" applyFont="1" applyBorder="1" applyAlignment="1">
      <alignment/>
    </xf>
    <xf numFmtId="191" fontId="2" fillId="0" borderId="0" xfId="19" applyNumberFormat="1" applyFont="1" applyBorder="1" applyAlignment="1">
      <alignment/>
    </xf>
    <xf numFmtId="191" fontId="2" fillId="0" borderId="7" xfId="19" applyNumberFormat="1" applyFont="1" applyBorder="1" applyAlignment="1">
      <alignment/>
    </xf>
    <xf numFmtId="191" fontId="2" fillId="0" borderId="1" xfId="19" applyNumberFormat="1" applyFont="1" applyBorder="1" applyAlignment="1">
      <alignment/>
    </xf>
    <xf numFmtId="191" fontId="2" fillId="0" borderId="4" xfId="19" applyNumberFormat="1" applyFont="1" applyBorder="1" applyAlignment="1">
      <alignment/>
    </xf>
    <xf numFmtId="191" fontId="2" fillId="0" borderId="5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6" xfId="19" applyNumberFormat="1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4" xfId="19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11.421875" defaultRowHeight="12.75"/>
  <cols>
    <col min="1" max="1" width="3.421875" style="1" customWidth="1"/>
    <col min="2" max="2" width="39.57421875" style="1" customWidth="1"/>
    <col min="3" max="3" width="7.7109375" style="1" bestFit="1" customWidth="1"/>
    <col min="4" max="4" width="8.7109375" style="1" bestFit="1" customWidth="1"/>
    <col min="5" max="7" width="7.7109375" style="1" bestFit="1" customWidth="1"/>
    <col min="8" max="8" width="8.7109375" style="1" bestFit="1" customWidth="1"/>
    <col min="9" max="11" width="7.7109375" style="1" bestFit="1" customWidth="1"/>
    <col min="12" max="12" width="6.421875" style="1" hidden="1" customWidth="1"/>
    <col min="13" max="16384" width="11.421875" style="1" customWidth="1"/>
  </cols>
  <sheetData>
    <row r="1" ht="11.25"/>
    <row r="2" spans="2:12" ht="12.75" customHeight="1">
      <c r="B2" s="46"/>
      <c r="C2" s="47" t="s">
        <v>0</v>
      </c>
      <c r="D2" s="47"/>
      <c r="E2" s="47"/>
      <c r="F2" s="47"/>
      <c r="G2" s="47"/>
      <c r="H2" s="47"/>
      <c r="I2" s="47"/>
      <c r="J2" s="46"/>
      <c r="K2" s="46"/>
      <c r="L2" s="46"/>
    </row>
    <row r="3" spans="2:12" ht="12.75" customHeight="1">
      <c r="B3" s="46"/>
      <c r="C3" s="47" t="s">
        <v>1</v>
      </c>
      <c r="D3" s="47"/>
      <c r="E3" s="47"/>
      <c r="F3" s="47"/>
      <c r="G3" s="47"/>
      <c r="H3" s="47"/>
      <c r="I3" s="47"/>
      <c r="J3" s="46"/>
      <c r="K3" s="46"/>
      <c r="L3" s="46"/>
    </row>
    <row r="4" spans="2:12" ht="12.75" customHeight="1">
      <c r="B4" s="46"/>
      <c r="C4" s="47" t="s">
        <v>2</v>
      </c>
      <c r="D4" s="47"/>
      <c r="E4" s="47"/>
      <c r="F4" s="47"/>
      <c r="G4" s="47"/>
      <c r="H4" s="47"/>
      <c r="I4" s="47"/>
      <c r="J4" s="46"/>
      <c r="K4" s="46"/>
      <c r="L4" s="46"/>
    </row>
    <row r="5" spans="2:12" ht="12.75" customHeight="1">
      <c r="B5" s="45"/>
      <c r="C5" s="48" t="s">
        <v>3</v>
      </c>
      <c r="D5" s="48"/>
      <c r="E5" s="48"/>
      <c r="F5" s="48"/>
      <c r="G5" s="48"/>
      <c r="H5" s="48"/>
      <c r="I5" s="48"/>
      <c r="J5" s="45"/>
      <c r="K5" s="45"/>
      <c r="L5" s="45"/>
    </row>
    <row r="6" spans="1:12" ht="11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50">
        <v>2001</v>
      </c>
      <c r="D8" s="50"/>
      <c r="E8" s="50"/>
      <c r="F8" s="51"/>
      <c r="G8" s="49">
        <v>2000</v>
      </c>
      <c r="H8" s="50"/>
      <c r="I8" s="50"/>
      <c r="J8" s="51"/>
      <c r="K8" s="50" t="s">
        <v>4</v>
      </c>
      <c r="L8" s="50"/>
    </row>
    <row r="9" spans="1:12" ht="11.25">
      <c r="A9" s="4"/>
      <c r="B9" s="4"/>
      <c r="C9" s="5" t="s">
        <v>5</v>
      </c>
      <c r="D9" s="4" t="s">
        <v>6</v>
      </c>
      <c r="E9" s="4" t="s">
        <v>7</v>
      </c>
      <c r="F9" s="4" t="s">
        <v>8</v>
      </c>
      <c r="G9" s="6" t="s">
        <v>5</v>
      </c>
      <c r="H9" s="4" t="s">
        <v>6</v>
      </c>
      <c r="I9" s="4" t="s">
        <v>7</v>
      </c>
      <c r="J9" s="7" t="s">
        <v>8</v>
      </c>
      <c r="K9" s="8" t="s">
        <v>9</v>
      </c>
      <c r="L9" s="8" t="s">
        <v>10</v>
      </c>
    </row>
    <row r="10" spans="1:12" ht="11.25">
      <c r="A10" s="9" t="s">
        <v>11</v>
      </c>
      <c r="B10" s="9"/>
      <c r="C10" s="9"/>
      <c r="D10" s="9"/>
      <c r="E10" s="9"/>
      <c r="F10" s="10"/>
      <c r="G10" s="11"/>
      <c r="H10" s="12"/>
      <c r="I10" s="12"/>
      <c r="J10" s="13"/>
      <c r="K10" s="10"/>
      <c r="L10" s="10"/>
    </row>
    <row r="11" spans="1:12" ht="11.25">
      <c r="A11" s="1" t="s">
        <v>12</v>
      </c>
      <c r="C11" s="14">
        <v>207593</v>
      </c>
      <c r="D11" s="14">
        <v>189354</v>
      </c>
      <c r="E11" s="14">
        <v>185209</v>
      </c>
      <c r="F11" s="14">
        <v>172498</v>
      </c>
      <c r="G11" s="15">
        <v>208632</v>
      </c>
      <c r="H11" s="16">
        <v>168946</v>
      </c>
      <c r="I11" s="16">
        <v>160837</v>
      </c>
      <c r="J11" s="17">
        <v>166371</v>
      </c>
      <c r="K11" s="14">
        <v>146638</v>
      </c>
      <c r="L11" s="14">
        <v>115116</v>
      </c>
    </row>
    <row r="12" spans="1:12" ht="11.25">
      <c r="A12" s="1" t="s">
        <v>13</v>
      </c>
      <c r="C12" s="14">
        <v>50607</v>
      </c>
      <c r="D12" s="14">
        <v>29159</v>
      </c>
      <c r="E12" s="14">
        <v>35078</v>
      </c>
      <c r="F12" s="14">
        <v>28958</v>
      </c>
      <c r="G12" s="15">
        <v>63795</v>
      </c>
      <c r="H12" s="16">
        <v>30456</v>
      </c>
      <c r="I12" s="16">
        <v>29897</v>
      </c>
      <c r="J12" s="17">
        <v>31215</v>
      </c>
      <c r="K12" s="14">
        <v>44560</v>
      </c>
      <c r="L12" s="14">
        <v>9799</v>
      </c>
    </row>
    <row r="13" spans="1:12" ht="11.25">
      <c r="A13" s="1" t="s">
        <v>14</v>
      </c>
      <c r="C13" s="14">
        <f aca="true" t="shared" si="0" ref="C13:L13">C14+C15</f>
        <v>69657</v>
      </c>
      <c r="D13" s="14">
        <f t="shared" si="0"/>
        <v>62537</v>
      </c>
      <c r="E13" s="14">
        <f t="shared" si="0"/>
        <v>61611</v>
      </c>
      <c r="F13" s="14">
        <f t="shared" si="0"/>
        <v>53248</v>
      </c>
      <c r="G13" s="15">
        <f t="shared" si="0"/>
        <v>45308</v>
      </c>
      <c r="H13" s="16">
        <f t="shared" si="0"/>
        <v>43390</v>
      </c>
      <c r="I13" s="16">
        <f t="shared" si="0"/>
        <v>44606</v>
      </c>
      <c r="J13" s="17">
        <f t="shared" si="0"/>
        <v>34409</v>
      </c>
      <c r="K13" s="14">
        <f t="shared" si="0"/>
        <v>6161</v>
      </c>
      <c r="L13" s="14">
        <f t="shared" si="0"/>
        <v>13540</v>
      </c>
    </row>
    <row r="14" spans="2:12" ht="11.25">
      <c r="B14" s="1" t="s">
        <v>15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  <c r="H14" s="16">
        <v>0</v>
      </c>
      <c r="I14" s="16">
        <v>0</v>
      </c>
      <c r="J14" s="17">
        <v>0</v>
      </c>
      <c r="K14" s="14">
        <v>0</v>
      </c>
      <c r="L14" s="14">
        <v>527</v>
      </c>
    </row>
    <row r="15" spans="2:12" ht="11.25">
      <c r="B15" s="1" t="s">
        <v>16</v>
      </c>
      <c r="C15" s="14">
        <v>69657</v>
      </c>
      <c r="D15" s="14">
        <v>62537</v>
      </c>
      <c r="E15" s="14">
        <v>61611</v>
      </c>
      <c r="F15" s="14">
        <v>53248</v>
      </c>
      <c r="G15" s="15">
        <v>45308</v>
      </c>
      <c r="H15" s="16">
        <v>43390</v>
      </c>
      <c r="I15" s="16">
        <v>44606</v>
      </c>
      <c r="J15" s="17">
        <v>34409</v>
      </c>
      <c r="K15" s="14">
        <v>6161</v>
      </c>
      <c r="L15" s="14">
        <v>13013</v>
      </c>
    </row>
    <row r="16" spans="1:12" ht="11.25">
      <c r="A16" s="1" t="s">
        <v>17</v>
      </c>
      <c r="C16" s="14">
        <v>81225</v>
      </c>
      <c r="D16" s="14">
        <v>92076</v>
      </c>
      <c r="E16" s="14">
        <v>85343</v>
      </c>
      <c r="F16" s="14">
        <v>85930</v>
      </c>
      <c r="G16" s="15">
        <v>87609</v>
      </c>
      <c r="H16" s="16">
        <v>82822</v>
      </c>
      <c r="I16" s="16">
        <v>75567</v>
      </c>
      <c r="J16" s="17">
        <v>76412</v>
      </c>
      <c r="K16" s="14">
        <v>76411</v>
      </c>
      <c r="L16" s="14">
        <v>78113</v>
      </c>
    </row>
    <row r="17" spans="1:12" ht="11.25">
      <c r="A17" s="1" t="s">
        <v>18</v>
      </c>
      <c r="C17" s="14">
        <f aca="true" t="shared" si="1" ref="C17:L17">C18+C22</f>
        <v>126038</v>
      </c>
      <c r="D17" s="14">
        <f t="shared" si="1"/>
        <v>107661</v>
      </c>
      <c r="E17" s="14">
        <f t="shared" si="1"/>
        <v>106737</v>
      </c>
      <c r="F17" s="14">
        <f t="shared" si="1"/>
        <v>89859</v>
      </c>
      <c r="G17" s="15">
        <f t="shared" si="1"/>
        <v>127436</v>
      </c>
      <c r="H17" s="16">
        <f t="shared" si="1"/>
        <v>82592</v>
      </c>
      <c r="I17" s="16">
        <f t="shared" si="1"/>
        <v>76277</v>
      </c>
      <c r="J17" s="17">
        <f t="shared" si="1"/>
        <v>77662</v>
      </c>
      <c r="K17" s="14">
        <f t="shared" si="1"/>
        <v>67507</v>
      </c>
      <c r="L17" s="14">
        <f t="shared" si="1"/>
        <v>38724</v>
      </c>
    </row>
    <row r="18" spans="2:12" ht="11.25">
      <c r="B18" s="1" t="s">
        <v>15</v>
      </c>
      <c r="C18" s="14">
        <f aca="true" t="shared" si="2" ref="C18:L18">SUM(C19:C21)</f>
        <v>0</v>
      </c>
      <c r="D18" s="14">
        <f t="shared" si="2"/>
        <v>0</v>
      </c>
      <c r="E18" s="14">
        <f t="shared" si="2"/>
        <v>0</v>
      </c>
      <c r="F18" s="14">
        <f t="shared" si="2"/>
        <v>0</v>
      </c>
      <c r="G18" s="15">
        <f t="shared" si="2"/>
        <v>0</v>
      </c>
      <c r="H18" s="16">
        <f t="shared" si="2"/>
        <v>0</v>
      </c>
      <c r="I18" s="16">
        <f t="shared" si="2"/>
        <v>0</v>
      </c>
      <c r="J18" s="17">
        <f t="shared" si="2"/>
        <v>0</v>
      </c>
      <c r="K18" s="14">
        <f t="shared" si="2"/>
        <v>0</v>
      </c>
      <c r="L18" s="14">
        <f t="shared" si="2"/>
        <v>0</v>
      </c>
    </row>
    <row r="19" spans="2:12" ht="11.25">
      <c r="B19" s="1" t="s">
        <v>19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  <c r="H19" s="16">
        <v>0</v>
      </c>
      <c r="I19" s="16">
        <v>0</v>
      </c>
      <c r="J19" s="17">
        <v>0</v>
      </c>
      <c r="K19" s="14">
        <v>0</v>
      </c>
      <c r="L19" s="14">
        <v>0</v>
      </c>
    </row>
    <row r="20" spans="2:12" ht="11.25">
      <c r="B20" s="1" t="s">
        <v>20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  <c r="H20" s="16">
        <v>0</v>
      </c>
      <c r="I20" s="16">
        <v>0</v>
      </c>
      <c r="J20" s="17">
        <v>0</v>
      </c>
      <c r="K20" s="14">
        <v>0</v>
      </c>
      <c r="L20" s="14">
        <v>0</v>
      </c>
    </row>
    <row r="21" spans="2:12" ht="11.25">
      <c r="B21" s="1" t="s">
        <v>21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  <c r="H21" s="16">
        <v>0</v>
      </c>
      <c r="I21" s="16">
        <v>0</v>
      </c>
      <c r="J21" s="17">
        <v>0</v>
      </c>
      <c r="K21" s="14">
        <v>0</v>
      </c>
      <c r="L21" s="14">
        <v>0</v>
      </c>
    </row>
    <row r="22" spans="2:12" ht="11.25">
      <c r="B22" s="1" t="s">
        <v>16</v>
      </c>
      <c r="C22" s="14">
        <f aca="true" t="shared" si="3" ref="C22:L22">SUM(C23:C24)</f>
        <v>126038</v>
      </c>
      <c r="D22" s="14">
        <f t="shared" si="3"/>
        <v>107661</v>
      </c>
      <c r="E22" s="14">
        <f t="shared" si="3"/>
        <v>106737</v>
      </c>
      <c r="F22" s="14">
        <f t="shared" si="3"/>
        <v>89859</v>
      </c>
      <c r="G22" s="15">
        <f t="shared" si="3"/>
        <v>127436</v>
      </c>
      <c r="H22" s="16">
        <f t="shared" si="3"/>
        <v>82592</v>
      </c>
      <c r="I22" s="16">
        <f t="shared" si="3"/>
        <v>76277</v>
      </c>
      <c r="J22" s="17">
        <f t="shared" si="3"/>
        <v>77662</v>
      </c>
      <c r="K22" s="14">
        <f t="shared" si="3"/>
        <v>67507</v>
      </c>
      <c r="L22" s="14">
        <f t="shared" si="3"/>
        <v>38724</v>
      </c>
    </row>
    <row r="23" spans="2:12" ht="11.25">
      <c r="B23" s="1" t="s">
        <v>20</v>
      </c>
      <c r="C23" s="14">
        <v>43133</v>
      </c>
      <c r="D23" s="14">
        <v>47351</v>
      </c>
      <c r="E23" s="14">
        <v>33945</v>
      </c>
      <c r="F23" s="14">
        <v>23339</v>
      </c>
      <c r="G23" s="15">
        <v>7634</v>
      </c>
      <c r="H23" s="16">
        <v>16567</v>
      </c>
      <c r="I23" s="16">
        <v>7351</v>
      </c>
      <c r="J23" s="17">
        <v>5915</v>
      </c>
      <c r="K23" s="14">
        <v>3213</v>
      </c>
      <c r="L23" s="14">
        <v>2735</v>
      </c>
    </row>
    <row r="24" spans="2:12" ht="11.25">
      <c r="B24" s="1" t="s">
        <v>21</v>
      </c>
      <c r="C24" s="14">
        <v>82905</v>
      </c>
      <c r="D24" s="14">
        <v>60310</v>
      </c>
      <c r="E24" s="14">
        <v>72792</v>
      </c>
      <c r="F24" s="14">
        <v>66520</v>
      </c>
      <c r="G24" s="15">
        <v>119802</v>
      </c>
      <c r="H24" s="16">
        <v>66025</v>
      </c>
      <c r="I24" s="16">
        <v>68926</v>
      </c>
      <c r="J24" s="17">
        <v>71747</v>
      </c>
      <c r="K24" s="14">
        <v>64294</v>
      </c>
      <c r="L24" s="14">
        <v>35989</v>
      </c>
    </row>
    <row r="25" spans="1:12" ht="11.25">
      <c r="A25" s="2" t="s">
        <v>22</v>
      </c>
      <c r="B25" s="2"/>
      <c r="C25" s="18">
        <v>27034</v>
      </c>
      <c r="D25" s="18">
        <v>24880</v>
      </c>
      <c r="E25" s="18">
        <v>24417</v>
      </c>
      <c r="F25" s="18">
        <v>23944</v>
      </c>
      <c r="G25" s="19">
        <v>39492</v>
      </c>
      <c r="H25" s="18">
        <v>39127</v>
      </c>
      <c r="I25" s="18">
        <v>38679</v>
      </c>
      <c r="J25" s="20">
        <v>47026</v>
      </c>
      <c r="K25" s="18">
        <v>46385</v>
      </c>
      <c r="L25" s="18">
        <v>45377</v>
      </c>
    </row>
    <row r="26" spans="1:12" ht="11.25">
      <c r="A26" s="9" t="s">
        <v>23</v>
      </c>
      <c r="D26" s="14"/>
      <c r="F26" s="14"/>
      <c r="G26" s="15"/>
      <c r="H26" s="16"/>
      <c r="I26" s="16"/>
      <c r="J26" s="17"/>
      <c r="K26" s="14"/>
      <c r="L26" s="14"/>
    </row>
    <row r="27" spans="1:12" ht="11.25">
      <c r="A27" s="1" t="s">
        <v>12</v>
      </c>
      <c r="C27" s="14">
        <f>(C11+G11)/2</f>
        <v>208112.5</v>
      </c>
      <c r="D27" s="14">
        <f>(D11+H11)/2</f>
        <v>179150</v>
      </c>
      <c r="E27" s="14">
        <f>(E11+I11)/2</f>
        <v>173023</v>
      </c>
      <c r="F27" s="14">
        <f>(F11+J11)/2</f>
        <v>169434.5</v>
      </c>
      <c r="G27" s="15">
        <f>(G11+K11)/2</f>
        <v>177635</v>
      </c>
      <c r="H27" s="16">
        <f>(H11+119624)/2</f>
        <v>144285</v>
      </c>
      <c r="I27" s="16">
        <f>(I11+116994)/2</f>
        <v>138915.5</v>
      </c>
      <c r="J27" s="17">
        <f>(J11+121297)/2</f>
        <v>143834</v>
      </c>
      <c r="K27" s="14">
        <f>(K11+L11)/2</f>
        <v>130877</v>
      </c>
      <c r="L27" s="14">
        <f>(L11+113012)/2</f>
        <v>114064</v>
      </c>
    </row>
    <row r="28" spans="1:12" ht="11.25">
      <c r="A28" s="1" t="s">
        <v>24</v>
      </c>
      <c r="C28" s="14">
        <f aca="true" t="shared" si="4" ref="C28:L28">C29+C30</f>
        <v>141899.5</v>
      </c>
      <c r="D28" s="14">
        <f t="shared" si="4"/>
        <v>140412.5</v>
      </c>
      <c r="E28" s="14">
        <f t="shared" si="4"/>
        <v>133563.5</v>
      </c>
      <c r="F28" s="14">
        <f t="shared" si="4"/>
        <v>124999.5</v>
      </c>
      <c r="G28" s="15">
        <f t="shared" si="4"/>
        <v>107744.5</v>
      </c>
      <c r="H28" s="16">
        <f t="shared" si="4"/>
        <v>107356.5</v>
      </c>
      <c r="I28" s="16">
        <f t="shared" si="4"/>
        <v>104588</v>
      </c>
      <c r="J28" s="17">
        <f t="shared" si="4"/>
        <v>104346.5</v>
      </c>
      <c r="K28" s="14">
        <f t="shared" si="4"/>
        <v>87112.5</v>
      </c>
      <c r="L28" s="14">
        <f t="shared" si="4"/>
        <v>95119.5</v>
      </c>
    </row>
    <row r="29" spans="2:12" ht="11.25">
      <c r="B29" s="1" t="s">
        <v>14</v>
      </c>
      <c r="C29" s="14">
        <f>(C13+G13)/2</f>
        <v>57482.5</v>
      </c>
      <c r="D29" s="14">
        <f>(D13+H13)/2</f>
        <v>52963.5</v>
      </c>
      <c r="E29" s="14">
        <f>(E13+I13)/2</f>
        <v>53108.5</v>
      </c>
      <c r="F29" s="14">
        <f>(F13+J13)/2</f>
        <v>43828.5</v>
      </c>
      <c r="G29" s="15">
        <f>(G13+K13)/2</f>
        <v>25734.5</v>
      </c>
      <c r="H29" s="16">
        <f>(H13+11232)/2</f>
        <v>27311</v>
      </c>
      <c r="I29" s="16">
        <f>(I13+11735)/2</f>
        <v>28170.5</v>
      </c>
      <c r="J29" s="17">
        <f>(J13+19759)/2</f>
        <v>27084</v>
      </c>
      <c r="K29" s="14">
        <f>(K13+L13)/2</f>
        <v>9850.5</v>
      </c>
      <c r="L29" s="14">
        <f>(L13+18770)/2</f>
        <v>16155</v>
      </c>
    </row>
    <row r="30" spans="2:12" ht="11.25">
      <c r="B30" s="1" t="s">
        <v>17</v>
      </c>
      <c r="C30" s="14">
        <f>(C16+G16)/2</f>
        <v>84417</v>
      </c>
      <c r="D30" s="14">
        <f>(D16+H16)/2</f>
        <v>87449</v>
      </c>
      <c r="E30" s="14">
        <f>(E16+I16)/2</f>
        <v>80455</v>
      </c>
      <c r="F30" s="14">
        <f>(F16+J16)/2</f>
        <v>81171</v>
      </c>
      <c r="G30" s="15">
        <f>(G16+K16)/2</f>
        <v>82010</v>
      </c>
      <c r="H30" s="16">
        <f>(H16+77269)/2</f>
        <v>80045.5</v>
      </c>
      <c r="I30" s="16">
        <f>(I16+77268)/2</f>
        <v>76417.5</v>
      </c>
      <c r="J30" s="17">
        <f>(J16+78113)/2</f>
        <v>77262.5</v>
      </c>
      <c r="K30" s="14">
        <f>(K16+L16)/2</f>
        <v>77262</v>
      </c>
      <c r="L30" s="14">
        <f>(L16+79816)/2</f>
        <v>78964.5</v>
      </c>
    </row>
    <row r="31" spans="1:12" ht="11.25">
      <c r="A31" s="2" t="s">
        <v>22</v>
      </c>
      <c r="B31" s="2"/>
      <c r="C31" s="18">
        <f>(C25+G25)/2</f>
        <v>33263</v>
      </c>
      <c r="D31" s="18">
        <f>(D25+H25)/2</f>
        <v>32003.5</v>
      </c>
      <c r="E31" s="18">
        <f>(E25+I25)/2</f>
        <v>31548</v>
      </c>
      <c r="F31" s="18">
        <f>(F25+J25)/2</f>
        <v>35485</v>
      </c>
      <c r="G31" s="19">
        <f>(G25+K25)/2</f>
        <v>42938.5</v>
      </c>
      <c r="H31" s="18">
        <f>(H25+45809)/2</f>
        <v>42468</v>
      </c>
      <c r="I31" s="18">
        <f>(I25+45377)/2</f>
        <v>42028</v>
      </c>
      <c r="J31" s="20">
        <f>(J25+45827)/2</f>
        <v>46426.5</v>
      </c>
      <c r="K31" s="18">
        <f>(K25+L25)/2</f>
        <v>45881</v>
      </c>
      <c r="L31" s="18">
        <f>(L25+44910)/2</f>
        <v>45143.5</v>
      </c>
    </row>
    <row r="32" spans="1:10" ht="11.25">
      <c r="A32" s="9" t="s">
        <v>25</v>
      </c>
      <c r="D32" s="14"/>
      <c r="F32" s="14"/>
      <c r="G32" s="21"/>
      <c r="H32" s="22"/>
      <c r="I32" s="22"/>
      <c r="J32" s="23"/>
    </row>
    <row r="33" spans="1:12" ht="11.25">
      <c r="A33" s="1" t="s">
        <v>26</v>
      </c>
      <c r="C33" s="24">
        <v>13358</v>
      </c>
      <c r="D33" s="14">
        <f>E33+3296</f>
        <v>9965</v>
      </c>
      <c r="E33" s="14">
        <f>F33+3235</f>
        <v>6669</v>
      </c>
      <c r="F33" s="14">
        <v>3434</v>
      </c>
      <c r="G33" s="15">
        <f>3325+H33</f>
        <v>11775</v>
      </c>
      <c r="H33" s="16">
        <f>3079+I33</f>
        <v>8450</v>
      </c>
      <c r="I33" s="16">
        <f>2850+J33</f>
        <v>5371</v>
      </c>
      <c r="J33" s="17">
        <v>2521</v>
      </c>
      <c r="K33" s="14">
        <v>6757</v>
      </c>
      <c r="L33" s="14">
        <v>6651</v>
      </c>
    </row>
    <row r="34" spans="1:12" ht="11.25">
      <c r="A34" s="1" t="s">
        <v>27</v>
      </c>
      <c r="C34" s="24">
        <v>10212</v>
      </c>
      <c r="D34" s="14">
        <f>E34+2884</f>
        <v>7448</v>
      </c>
      <c r="E34" s="14">
        <f>F34+2410</f>
        <v>4564</v>
      </c>
      <c r="F34" s="14">
        <v>2154</v>
      </c>
      <c r="G34" s="15">
        <f>2203+H34</f>
        <v>7788</v>
      </c>
      <c r="H34" s="16">
        <f>2008+I34</f>
        <v>5585</v>
      </c>
      <c r="I34" s="16">
        <f>1860+J34</f>
        <v>3577</v>
      </c>
      <c r="J34" s="17">
        <v>1717</v>
      </c>
      <c r="K34" s="14">
        <v>4330</v>
      </c>
      <c r="L34" s="14">
        <v>4888</v>
      </c>
    </row>
    <row r="35" spans="1:12" ht="11.25">
      <c r="A35" s="1" t="s">
        <v>28</v>
      </c>
      <c r="C35" s="14">
        <f aca="true" t="shared" si="5" ref="C35:L35">C33-C34</f>
        <v>3146</v>
      </c>
      <c r="D35" s="14">
        <f t="shared" si="5"/>
        <v>2517</v>
      </c>
      <c r="E35" s="14">
        <f t="shared" si="5"/>
        <v>2105</v>
      </c>
      <c r="F35" s="14">
        <f t="shared" si="5"/>
        <v>1280</v>
      </c>
      <c r="G35" s="15">
        <f t="shared" si="5"/>
        <v>3987</v>
      </c>
      <c r="H35" s="16">
        <f t="shared" si="5"/>
        <v>2865</v>
      </c>
      <c r="I35" s="16">
        <f t="shared" si="5"/>
        <v>1794</v>
      </c>
      <c r="J35" s="17">
        <f t="shared" si="5"/>
        <v>804</v>
      </c>
      <c r="K35" s="14">
        <f t="shared" si="5"/>
        <v>2427</v>
      </c>
      <c r="L35" s="14">
        <f t="shared" si="5"/>
        <v>1763</v>
      </c>
    </row>
    <row r="36" spans="1:12" ht="11.25">
      <c r="A36" s="1" t="s">
        <v>29</v>
      </c>
      <c r="C36" s="24">
        <v>5780</v>
      </c>
      <c r="D36" s="14">
        <f>E36+255</f>
        <v>299</v>
      </c>
      <c r="E36" s="14">
        <f>F36+40</f>
        <v>44</v>
      </c>
      <c r="F36" s="14">
        <v>4</v>
      </c>
      <c r="G36" s="15">
        <f>1198+H36</f>
        <v>3353</v>
      </c>
      <c r="H36" s="16">
        <f>1+I36</f>
        <v>2155</v>
      </c>
      <c r="I36" s="16">
        <f>2150+J36</f>
        <v>2154</v>
      </c>
      <c r="J36" s="17">
        <v>4</v>
      </c>
      <c r="K36" s="14">
        <v>2291</v>
      </c>
      <c r="L36" s="14">
        <v>30</v>
      </c>
    </row>
    <row r="37" spans="1:12" ht="11.25">
      <c r="A37" s="1" t="s">
        <v>30</v>
      </c>
      <c r="C37" s="14">
        <f aca="true" t="shared" si="6" ref="C37:L37">C35+C36</f>
        <v>8926</v>
      </c>
      <c r="D37" s="14">
        <f t="shared" si="6"/>
        <v>2816</v>
      </c>
      <c r="E37" s="14">
        <f t="shared" si="6"/>
        <v>2149</v>
      </c>
      <c r="F37" s="14">
        <f t="shared" si="6"/>
        <v>1284</v>
      </c>
      <c r="G37" s="15">
        <f t="shared" si="6"/>
        <v>7340</v>
      </c>
      <c r="H37" s="16">
        <f t="shared" si="6"/>
        <v>5020</v>
      </c>
      <c r="I37" s="16">
        <f t="shared" si="6"/>
        <v>3948</v>
      </c>
      <c r="J37" s="17">
        <f t="shared" si="6"/>
        <v>808</v>
      </c>
      <c r="K37" s="14">
        <f t="shared" si="6"/>
        <v>4718</v>
      </c>
      <c r="L37" s="14">
        <f t="shared" si="6"/>
        <v>1793</v>
      </c>
    </row>
    <row r="38" spans="1:12" ht="11.25">
      <c r="A38" s="1" t="s">
        <v>31</v>
      </c>
      <c r="C38" s="24">
        <v>1336</v>
      </c>
      <c r="D38" s="14">
        <f>E38+104</f>
        <v>604</v>
      </c>
      <c r="E38" s="14">
        <f>F38+175</f>
        <v>500</v>
      </c>
      <c r="F38" s="14">
        <v>325</v>
      </c>
      <c r="G38" s="15">
        <f>1656+H38</f>
        <v>2400</v>
      </c>
      <c r="H38" s="16">
        <f>342+I38</f>
        <v>744</v>
      </c>
      <c r="I38" s="16">
        <f>232+J38</f>
        <v>402</v>
      </c>
      <c r="J38" s="17">
        <v>170</v>
      </c>
      <c r="K38" s="14">
        <v>960</v>
      </c>
      <c r="L38" s="14">
        <v>876</v>
      </c>
    </row>
    <row r="39" spans="1:12" ht="11.25">
      <c r="A39" s="1" t="s">
        <v>32</v>
      </c>
      <c r="C39" s="14">
        <f aca="true" t="shared" si="7" ref="C39:L39">C37-C38</f>
        <v>7590</v>
      </c>
      <c r="D39" s="14">
        <f t="shared" si="7"/>
        <v>2212</v>
      </c>
      <c r="E39" s="14">
        <f t="shared" si="7"/>
        <v>1649</v>
      </c>
      <c r="F39" s="14">
        <f t="shared" si="7"/>
        <v>959</v>
      </c>
      <c r="G39" s="15">
        <f t="shared" si="7"/>
        <v>4940</v>
      </c>
      <c r="H39" s="16">
        <f t="shared" si="7"/>
        <v>4276</v>
      </c>
      <c r="I39" s="16">
        <f t="shared" si="7"/>
        <v>3546</v>
      </c>
      <c r="J39" s="17">
        <f t="shared" si="7"/>
        <v>638</v>
      </c>
      <c r="K39" s="14">
        <f t="shared" si="7"/>
        <v>3758</v>
      </c>
      <c r="L39" s="14">
        <f t="shared" si="7"/>
        <v>917</v>
      </c>
    </row>
    <row r="40" spans="1:12" ht="11.25">
      <c r="A40" s="2" t="s">
        <v>33</v>
      </c>
      <c r="B40" s="2"/>
      <c r="C40" s="25">
        <v>3866</v>
      </c>
      <c r="D40" s="18">
        <f>E40+463</f>
        <v>1712</v>
      </c>
      <c r="E40" s="18">
        <f>F40+490</f>
        <v>1249</v>
      </c>
      <c r="F40" s="18">
        <v>759</v>
      </c>
      <c r="G40" s="19">
        <f>364+H40</f>
        <v>2842</v>
      </c>
      <c r="H40" s="18">
        <f>448+I40</f>
        <v>2478</v>
      </c>
      <c r="I40" s="18">
        <f>1392+J40</f>
        <v>2030</v>
      </c>
      <c r="J40" s="20">
        <v>638</v>
      </c>
      <c r="K40" s="18">
        <v>1776</v>
      </c>
      <c r="L40" s="18">
        <v>468</v>
      </c>
    </row>
    <row r="41" spans="1:12" ht="11.25">
      <c r="A41" s="9" t="s">
        <v>34</v>
      </c>
      <c r="D41" s="14"/>
      <c r="E41" s="14"/>
      <c r="G41" s="15"/>
      <c r="H41" s="16"/>
      <c r="I41" s="16"/>
      <c r="J41" s="17"/>
      <c r="K41" s="14"/>
      <c r="L41" s="14"/>
    </row>
    <row r="42" spans="1:12" ht="11.25">
      <c r="A42" s="1" t="s">
        <v>35</v>
      </c>
      <c r="C42" s="14">
        <v>6054</v>
      </c>
      <c r="D42" s="14">
        <v>0</v>
      </c>
      <c r="E42" s="14">
        <v>0</v>
      </c>
      <c r="F42" s="26">
        <v>0</v>
      </c>
      <c r="G42" s="15">
        <v>0</v>
      </c>
      <c r="H42" s="16">
        <v>0</v>
      </c>
      <c r="I42" s="16">
        <v>1000</v>
      </c>
      <c r="J42" s="17">
        <v>0</v>
      </c>
      <c r="K42" s="14">
        <v>0</v>
      </c>
      <c r="L42" s="14">
        <v>6000</v>
      </c>
    </row>
    <row r="43" spans="1:12" ht="11.25">
      <c r="A43" s="1" t="s">
        <v>36</v>
      </c>
      <c r="C43" s="14">
        <v>8001</v>
      </c>
      <c r="D43" s="14">
        <v>4776</v>
      </c>
      <c r="E43" s="14">
        <v>4731</v>
      </c>
      <c r="F43" s="26">
        <v>4531</v>
      </c>
      <c r="G43" s="15">
        <v>2376</v>
      </c>
      <c r="H43" s="16">
        <v>2076</v>
      </c>
      <c r="I43" s="16">
        <v>1795</v>
      </c>
      <c r="J43" s="17">
        <v>279</v>
      </c>
      <c r="K43" s="14">
        <v>279</v>
      </c>
      <c r="L43" s="14">
        <v>449</v>
      </c>
    </row>
    <row r="44" spans="1:12" ht="11.25">
      <c r="A44" s="1" t="s">
        <v>37</v>
      </c>
      <c r="C44" s="27">
        <f aca="true" t="shared" si="8" ref="C44:L44">C42/C13</f>
        <v>0.08691158103277488</v>
      </c>
      <c r="D44" s="27">
        <f t="shared" si="8"/>
        <v>0</v>
      </c>
      <c r="E44" s="27">
        <f t="shared" si="8"/>
        <v>0</v>
      </c>
      <c r="F44" s="27">
        <f t="shared" si="8"/>
        <v>0</v>
      </c>
      <c r="G44" s="28">
        <f t="shared" si="8"/>
        <v>0</v>
      </c>
      <c r="H44" s="29">
        <f t="shared" si="8"/>
        <v>0</v>
      </c>
      <c r="I44" s="29">
        <f t="shared" si="8"/>
        <v>0.022418508720799892</v>
      </c>
      <c r="J44" s="30">
        <f t="shared" si="8"/>
        <v>0</v>
      </c>
      <c r="K44" s="27">
        <f t="shared" si="8"/>
        <v>0</v>
      </c>
      <c r="L44" s="27">
        <f t="shared" si="8"/>
        <v>0.4431314623338257</v>
      </c>
    </row>
    <row r="45" spans="1:12" ht="11.25">
      <c r="A45" s="1" t="s">
        <v>38</v>
      </c>
      <c r="C45" s="29">
        <f>C43/C42</f>
        <v>1.321605550049554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f>I43/I42</f>
        <v>1.795</v>
      </c>
      <c r="J45" s="30">
        <v>0</v>
      </c>
      <c r="K45" s="27">
        <v>0</v>
      </c>
      <c r="L45" s="27">
        <f>L43/L42</f>
        <v>0.07483333333333334</v>
      </c>
    </row>
    <row r="46" spans="1:12" ht="11.25">
      <c r="A46" s="2" t="s">
        <v>39</v>
      </c>
      <c r="B46" s="2"/>
      <c r="C46" s="31">
        <f aca="true" t="shared" si="9" ref="C46:L46">C43/C13</f>
        <v>0.11486282785649683</v>
      </c>
      <c r="D46" s="31">
        <f t="shared" si="9"/>
        <v>0.07637078849321202</v>
      </c>
      <c r="E46" s="31">
        <f t="shared" si="9"/>
        <v>0.07678823586697181</v>
      </c>
      <c r="F46" s="31">
        <f t="shared" si="9"/>
        <v>0.08509239783653846</v>
      </c>
      <c r="G46" s="32">
        <f t="shared" si="9"/>
        <v>0.05244107000971131</v>
      </c>
      <c r="H46" s="31">
        <f t="shared" si="9"/>
        <v>0.047845125604978105</v>
      </c>
      <c r="I46" s="31">
        <f t="shared" si="9"/>
        <v>0.040241223153835805</v>
      </c>
      <c r="J46" s="33">
        <f t="shared" si="9"/>
        <v>0.008108343747275423</v>
      </c>
      <c r="K46" s="31">
        <f t="shared" si="9"/>
        <v>0.04528485635448791</v>
      </c>
      <c r="L46" s="31">
        <f t="shared" si="9"/>
        <v>0.033161004431314624</v>
      </c>
    </row>
    <row r="47" spans="1:10" ht="11.25">
      <c r="A47" s="9" t="s">
        <v>40</v>
      </c>
      <c r="G47" s="21"/>
      <c r="H47" s="22"/>
      <c r="I47" s="22"/>
      <c r="J47" s="23"/>
    </row>
    <row r="48" spans="1:12" ht="11.25">
      <c r="A48" s="1" t="s">
        <v>41</v>
      </c>
      <c r="C48" s="27">
        <f aca="true" t="shared" si="10" ref="C48:L48">C25/(C13+C16)</f>
        <v>0.17917312867008656</v>
      </c>
      <c r="D48" s="27">
        <f t="shared" si="10"/>
        <v>0.16091790470400288</v>
      </c>
      <c r="E48" s="27">
        <f t="shared" si="10"/>
        <v>0.16615403459585992</v>
      </c>
      <c r="F48" s="27">
        <f t="shared" si="10"/>
        <v>0.17203868427481356</v>
      </c>
      <c r="G48" s="28">
        <f t="shared" si="10"/>
        <v>0.2971177501749212</v>
      </c>
      <c r="H48" s="29">
        <f t="shared" si="10"/>
        <v>0.31001014166640256</v>
      </c>
      <c r="I48" s="29">
        <f t="shared" si="10"/>
        <v>0.32186098374842936</v>
      </c>
      <c r="J48" s="30">
        <f t="shared" si="10"/>
        <v>0.4243419568493336</v>
      </c>
      <c r="K48" s="27">
        <f t="shared" si="10"/>
        <v>0.5617521678050671</v>
      </c>
      <c r="L48" s="27">
        <f t="shared" si="10"/>
        <v>0.4950956324397456</v>
      </c>
    </row>
    <row r="49" spans="1:12" ht="11.25">
      <c r="A49" s="2" t="s">
        <v>42</v>
      </c>
      <c r="B49" s="2"/>
      <c r="C49" s="31">
        <f>C25/C13</f>
        <v>0.3881016983217767</v>
      </c>
      <c r="D49" s="31">
        <f aca="true" t="shared" si="11" ref="D49:L49">D25/D11</f>
        <v>0.13139410838957719</v>
      </c>
      <c r="E49" s="31">
        <f t="shared" si="11"/>
        <v>0.1318348460387994</v>
      </c>
      <c r="F49" s="31">
        <f t="shared" si="11"/>
        <v>0.13880740646268364</v>
      </c>
      <c r="G49" s="32">
        <f t="shared" si="11"/>
        <v>0.18929023352122398</v>
      </c>
      <c r="H49" s="31">
        <f t="shared" si="11"/>
        <v>0.23159471073597482</v>
      </c>
      <c r="I49" s="31">
        <f t="shared" si="11"/>
        <v>0.24048570913409228</v>
      </c>
      <c r="J49" s="33">
        <f t="shared" si="11"/>
        <v>0.28265743428842766</v>
      </c>
      <c r="K49" s="31">
        <f t="shared" si="11"/>
        <v>0.31632319044176815</v>
      </c>
      <c r="L49" s="31">
        <f t="shared" si="11"/>
        <v>0.39418499600403073</v>
      </c>
    </row>
    <row r="50" spans="1:12" ht="11.25">
      <c r="A50" s="9" t="s">
        <v>43</v>
      </c>
      <c r="F50" s="34"/>
      <c r="G50" s="35"/>
      <c r="H50" s="36"/>
      <c r="I50" s="36"/>
      <c r="J50" s="37"/>
      <c r="K50" s="34"/>
      <c r="L50" s="34"/>
    </row>
    <row r="51" spans="1:12" ht="11.25">
      <c r="A51" s="1" t="s">
        <v>44</v>
      </c>
      <c r="C51" s="34">
        <f aca="true" t="shared" si="12" ref="C51:L51">C12/C17</f>
        <v>0.40152176327774164</v>
      </c>
      <c r="D51" s="34">
        <f t="shared" si="12"/>
        <v>0.2708408801701638</v>
      </c>
      <c r="E51" s="34">
        <f t="shared" si="12"/>
        <v>0.3286395532945464</v>
      </c>
      <c r="F51" s="34">
        <f t="shared" si="12"/>
        <v>0.3222604302295819</v>
      </c>
      <c r="G51" s="35">
        <f t="shared" si="12"/>
        <v>0.500604224865815</v>
      </c>
      <c r="H51" s="36">
        <f t="shared" si="12"/>
        <v>0.36875242154203797</v>
      </c>
      <c r="I51" s="36">
        <f t="shared" si="12"/>
        <v>0.39195301335920396</v>
      </c>
      <c r="J51" s="37">
        <f t="shared" si="12"/>
        <v>0.4019340217867168</v>
      </c>
      <c r="K51" s="34">
        <f t="shared" si="12"/>
        <v>0.6600796954389915</v>
      </c>
      <c r="L51" s="34">
        <f t="shared" si="12"/>
        <v>0.2530472058671625</v>
      </c>
    </row>
    <row r="52" spans="1:12" ht="11.25">
      <c r="A52" s="1" t="s">
        <v>45</v>
      </c>
      <c r="C52" s="34">
        <f aca="true" t="shared" si="13" ref="C52:L52">C12/C11</f>
        <v>0.2437798962392759</v>
      </c>
      <c r="D52" s="34">
        <f t="shared" si="13"/>
        <v>0.1539919938316592</v>
      </c>
      <c r="E52" s="34">
        <f t="shared" si="13"/>
        <v>0.18939684356591743</v>
      </c>
      <c r="F52" s="34">
        <f t="shared" si="13"/>
        <v>0.16787441013808857</v>
      </c>
      <c r="G52" s="35">
        <f t="shared" si="13"/>
        <v>0.3057776371793397</v>
      </c>
      <c r="H52" s="36">
        <f t="shared" si="13"/>
        <v>0.18027061901435962</v>
      </c>
      <c r="I52" s="36">
        <f t="shared" si="13"/>
        <v>0.1858838451351368</v>
      </c>
      <c r="J52" s="37">
        <f t="shared" si="13"/>
        <v>0.18762284292334602</v>
      </c>
      <c r="K52" s="34">
        <f t="shared" si="13"/>
        <v>0.30387757607168675</v>
      </c>
      <c r="L52" s="34">
        <f t="shared" si="13"/>
        <v>0.08512283262100838</v>
      </c>
    </row>
    <row r="53" spans="1:12" ht="11.25">
      <c r="A53" s="2" t="s">
        <v>46</v>
      </c>
      <c r="B53" s="2"/>
      <c r="C53" s="38">
        <f aca="true" t="shared" si="14" ref="C53:L53">(C12+C16)/C17</f>
        <v>1.0459702629365746</v>
      </c>
      <c r="D53" s="38">
        <f t="shared" si="14"/>
        <v>1.1260809392444804</v>
      </c>
      <c r="E53" s="38">
        <f t="shared" si="14"/>
        <v>1.1282029661691821</v>
      </c>
      <c r="F53" s="38">
        <f t="shared" si="14"/>
        <v>1.278536373652055</v>
      </c>
      <c r="G53" s="39">
        <f t="shared" si="14"/>
        <v>1.1880787218682318</v>
      </c>
      <c r="H53" s="38">
        <f t="shared" si="14"/>
        <v>1.3715371948857031</v>
      </c>
      <c r="I53" s="38">
        <f t="shared" si="14"/>
        <v>1.3826448339604336</v>
      </c>
      <c r="J53" s="40">
        <f t="shared" si="14"/>
        <v>1.3858386340810178</v>
      </c>
      <c r="K53" s="38">
        <f t="shared" si="14"/>
        <v>1.791977128297806</v>
      </c>
      <c r="L53" s="38">
        <f t="shared" si="14"/>
        <v>2.2702200185931205</v>
      </c>
    </row>
    <row r="54" spans="1:10" ht="11.25">
      <c r="A54" s="9" t="s">
        <v>47</v>
      </c>
      <c r="G54" s="21"/>
      <c r="H54" s="22"/>
      <c r="I54" s="22"/>
      <c r="J54" s="23"/>
    </row>
    <row r="55" spans="1:12" ht="11.25">
      <c r="A55" s="1" t="s">
        <v>48</v>
      </c>
      <c r="B55" s="22"/>
      <c r="C55" s="41">
        <f>C40/C28</f>
        <v>0.02724463440674562</v>
      </c>
      <c r="D55" s="41">
        <f>(D40/0.75)/D28</f>
        <v>0.016256862221430902</v>
      </c>
      <c r="E55" s="27">
        <f>(E40/0.5)/E28</f>
        <v>0.018702714439199332</v>
      </c>
      <c r="F55" s="27">
        <f>((F40)/0.25)/F28</f>
        <v>0.02428809715238861</v>
      </c>
      <c r="G55" s="42">
        <f>G40/G28</f>
        <v>0.026377216470446288</v>
      </c>
      <c r="H55" s="41">
        <f>(H40/0.75)/H28</f>
        <v>0.030775966057015644</v>
      </c>
      <c r="I55" s="41">
        <f>(I40/0.5)/I28</f>
        <v>0.03881898496959498</v>
      </c>
      <c r="J55" s="30">
        <f>((J40)/0.25)/J28</f>
        <v>0.024456977474088735</v>
      </c>
      <c r="K55" s="27">
        <f>K40/K28</f>
        <v>0.02038743004735256</v>
      </c>
      <c r="L55" s="27">
        <f>L40/L28</f>
        <v>0.004920126787882611</v>
      </c>
    </row>
    <row r="56" spans="1:12" ht="11.25">
      <c r="A56" s="1" t="s">
        <v>49</v>
      </c>
      <c r="B56" s="22"/>
      <c r="C56" s="41">
        <f>C40/C27</f>
        <v>0.018576491080545376</v>
      </c>
      <c r="D56" s="41">
        <f>(D40/0.75)/D27</f>
        <v>0.012741650386082425</v>
      </c>
      <c r="E56" s="27">
        <f>(E40/0.5)/E27</f>
        <v>0.014437386936996815</v>
      </c>
      <c r="F56" s="27">
        <f>((F40)/0.25)/F27</f>
        <v>0.017918428655321082</v>
      </c>
      <c r="G56" s="42">
        <f>G40/G27</f>
        <v>0.015999099276606525</v>
      </c>
      <c r="H56" s="41">
        <f>(H40/0.75)/H27</f>
        <v>0.02289912326298645</v>
      </c>
      <c r="I56" s="41">
        <f>(I40/0.5)/I27</f>
        <v>0.02922640022171752</v>
      </c>
      <c r="J56" s="30">
        <f>((J40)/0.25)/J27</f>
        <v>0.017742675584354186</v>
      </c>
      <c r="K56" s="27">
        <f>K40/K27</f>
        <v>0.013569993199721877</v>
      </c>
      <c r="L56" s="27">
        <f>L40/L27</f>
        <v>0.004102959741899285</v>
      </c>
    </row>
    <row r="57" spans="1:12" ht="11.25">
      <c r="A57" s="1" t="s">
        <v>50</v>
      </c>
      <c r="B57" s="22"/>
      <c r="C57" s="41">
        <f>+C40/C31</f>
        <v>0.11622523524636984</v>
      </c>
      <c r="D57" s="41">
        <f>(D40/0.75)/D31</f>
        <v>0.07132553210325954</v>
      </c>
      <c r="E57" s="27">
        <f>(E40/0.5)/E31</f>
        <v>0.07918093064536579</v>
      </c>
      <c r="F57" s="27">
        <f>((F40)/0.25)/F31</f>
        <v>0.08555727772298154</v>
      </c>
      <c r="G57" s="42">
        <f>+G40/G31</f>
        <v>0.0661876870407676</v>
      </c>
      <c r="H57" s="41">
        <f>(H40/0.75)/H31</f>
        <v>0.07779975510972968</v>
      </c>
      <c r="I57" s="41">
        <f>(I40/0.5)/I31</f>
        <v>0.0966022651565623</v>
      </c>
      <c r="J57" s="30">
        <f>((J40)/0.25)/J31</f>
        <v>0.05496860629166532</v>
      </c>
      <c r="K57" s="27">
        <f>K40/K31</f>
        <v>0.03870883372202001</v>
      </c>
      <c r="L57" s="27">
        <f>L40/L31</f>
        <v>0.010366940977106338</v>
      </c>
    </row>
    <row r="58" spans="1:12" ht="11.25">
      <c r="A58" s="1" t="s">
        <v>51</v>
      </c>
      <c r="B58" s="22"/>
      <c r="C58" s="41">
        <f>C33/C28</f>
        <v>0.09413704769925194</v>
      </c>
      <c r="D58" s="41">
        <f>(D33/0.75)/D28</f>
        <v>0.09462595329238256</v>
      </c>
      <c r="E58" s="27">
        <f>(E33/0.5)/E28</f>
        <v>0.09986261216574888</v>
      </c>
      <c r="F58" s="27">
        <f>((F33)/0.25)/F28</f>
        <v>0.10988843955375821</v>
      </c>
      <c r="G58" s="42">
        <f>G33/G28</f>
        <v>0.10928632087948804</v>
      </c>
      <c r="H58" s="41">
        <f>(H33/0.75)/H28</f>
        <v>0.1049462926480154</v>
      </c>
      <c r="I58" s="41">
        <f>(I33/0.5)/I28</f>
        <v>0.10270776762152446</v>
      </c>
      <c r="J58" s="30">
        <f>((J33)/0.25)/J28</f>
        <v>0.09663956146109356</v>
      </c>
      <c r="K58" s="27">
        <f>K33/K28</f>
        <v>0.07756636533218539</v>
      </c>
      <c r="L58" s="27">
        <f>L33/L27</f>
        <v>0.0583093701781456</v>
      </c>
    </row>
    <row r="59" spans="1:12" ht="11.25">
      <c r="A59" s="1" t="s">
        <v>52</v>
      </c>
      <c r="B59" s="22"/>
      <c r="C59" s="41">
        <f>C34/C28</f>
        <v>0.07196642694301249</v>
      </c>
      <c r="D59" s="41">
        <f>(D34/0.75)/D28</f>
        <v>0.07072494732781388</v>
      </c>
      <c r="E59" s="27">
        <f>(E34/0.5)/E28</f>
        <v>0.06834202458006866</v>
      </c>
      <c r="F59" s="27">
        <f>((F34)/0.25)/F28</f>
        <v>0.06892827571310285</v>
      </c>
      <c r="G59" s="42">
        <f>G34/G28</f>
        <v>0.07228211184793655</v>
      </c>
      <c r="H59" s="41">
        <f>(H34/0.75)/H28</f>
        <v>0.0693639105845167</v>
      </c>
      <c r="I59" s="41">
        <f>(I34/0.5)/I28</f>
        <v>0.06840172868780357</v>
      </c>
      <c r="J59" s="30">
        <f>((J34)/0.25)/J28</f>
        <v>0.06581916978528268</v>
      </c>
      <c r="K59" s="27">
        <f>K34/K28</f>
        <v>0.049705840149232315</v>
      </c>
      <c r="L59" s="27">
        <f>L34/L27</f>
        <v>0.04285313508205919</v>
      </c>
    </row>
    <row r="60" spans="1:12" ht="11.25">
      <c r="A60" s="1" t="s">
        <v>53</v>
      </c>
      <c r="B60" s="22"/>
      <c r="C60" s="41">
        <f>C35/C28</f>
        <v>0.02217062075623945</v>
      </c>
      <c r="D60" s="41">
        <f>(D35/0.75)/D28</f>
        <v>0.02390100596456868</v>
      </c>
      <c r="E60" s="27">
        <f>(E35/0.5)/E28</f>
        <v>0.03152058758568022</v>
      </c>
      <c r="F60" s="27">
        <f>((F35)/0.25)/F28</f>
        <v>0.040960163840655366</v>
      </c>
      <c r="G60" s="42">
        <f>G35/G28</f>
        <v>0.037004209031551494</v>
      </c>
      <c r="H60" s="41">
        <f>(H35/0.75)/H28</f>
        <v>0.035582382063498716</v>
      </c>
      <c r="I60" s="41">
        <f>(I35/0.5)/I28</f>
        <v>0.03430603893372088</v>
      </c>
      <c r="J60" s="30">
        <f>((J35)/0.25)/J28</f>
        <v>0.03082039167581088</v>
      </c>
      <c r="K60" s="27">
        <f>K35/K28</f>
        <v>0.027860525182953077</v>
      </c>
      <c r="L60" s="27">
        <f>L35/L27</f>
        <v>0.015456235096086408</v>
      </c>
    </row>
    <row r="61" spans="1:12" ht="11.25">
      <c r="A61" s="1" t="s">
        <v>54</v>
      </c>
      <c r="B61" s="22"/>
      <c r="C61" s="41">
        <f>C38/C37</f>
        <v>0.14967510643065202</v>
      </c>
      <c r="D61" s="41">
        <f>(D38/0.75)/(D37/0.75)</f>
        <v>0.21448863636363638</v>
      </c>
      <c r="E61" s="27">
        <f>(E38/0.5)/(E37/0.5)</f>
        <v>0.23266635644485809</v>
      </c>
      <c r="F61" s="27">
        <f>(F38/0.25)/(F37/0.25)</f>
        <v>0.2531152647975078</v>
      </c>
      <c r="G61" s="42">
        <f>G38/G37</f>
        <v>0.32697547683923706</v>
      </c>
      <c r="H61" s="41">
        <f>(H38/0.75)/(H37/0.75)</f>
        <v>0.14820717131474104</v>
      </c>
      <c r="I61" s="41">
        <f>(I38/0.5)/(I37/0.5)</f>
        <v>0.10182370820668693</v>
      </c>
      <c r="J61" s="30">
        <f>(J38/0.25)/(J37/0.25)</f>
        <v>0.2103960396039604</v>
      </c>
      <c r="K61" s="27">
        <f>K38/K37</f>
        <v>0.20347604917337855</v>
      </c>
      <c r="L61" s="27">
        <f>L38/L37</f>
        <v>0.48856664807585054</v>
      </c>
    </row>
    <row r="62" spans="1:12" ht="11.25">
      <c r="A62" s="2" t="s">
        <v>55</v>
      </c>
      <c r="B62" s="2"/>
      <c r="C62" s="43">
        <f>C36/C28</f>
        <v>0.04073305402767451</v>
      </c>
      <c r="D62" s="43">
        <f>(D36/0.75)/D28</f>
        <v>0.0028392533903083177</v>
      </c>
      <c r="E62" s="31">
        <f>(E36/0.5)/E28</f>
        <v>0.0006588626383705129</v>
      </c>
      <c r="F62" s="31">
        <f>(F36/0.25)/F28</f>
        <v>0.000128000512002048</v>
      </c>
      <c r="G62" s="44">
        <f>G36/G28</f>
        <v>0.031119917954048698</v>
      </c>
      <c r="H62" s="43">
        <f>(H36/0.75)/H28</f>
        <v>0.026764409545144762</v>
      </c>
      <c r="I62" s="43">
        <f>(I36/0.5)/I28</f>
        <v>0.041190193903698324</v>
      </c>
      <c r="J62" s="33">
        <f>(J36/0.25)/J28</f>
        <v>0.00015333528196920837</v>
      </c>
      <c r="K62" s="31">
        <f>K36/K28</f>
        <v>0.026299325584732386</v>
      </c>
      <c r="L62" s="31">
        <f>L36/L27</f>
        <v>0.00026301023986533874</v>
      </c>
    </row>
    <row r="63" spans="1:10" ht="11.25">
      <c r="A63" s="9" t="s">
        <v>56</v>
      </c>
      <c r="G63" s="21"/>
      <c r="H63" s="22"/>
      <c r="I63" s="22"/>
      <c r="J63" s="23"/>
    </row>
    <row r="64" spans="1:12" ht="11.25">
      <c r="A64" s="1" t="s">
        <v>57</v>
      </c>
      <c r="C64" s="1">
        <v>4</v>
      </c>
      <c r="D64" s="14">
        <v>5</v>
      </c>
      <c r="E64" s="14">
        <v>5</v>
      </c>
      <c r="F64" s="14">
        <v>5</v>
      </c>
      <c r="G64" s="15">
        <v>5</v>
      </c>
      <c r="H64" s="16">
        <v>5</v>
      </c>
      <c r="I64" s="16">
        <v>5</v>
      </c>
      <c r="J64" s="17">
        <v>5</v>
      </c>
      <c r="K64" s="14">
        <v>4</v>
      </c>
      <c r="L64" s="14">
        <v>4</v>
      </c>
    </row>
    <row r="65" spans="1:12" ht="11.25">
      <c r="A65" s="1" t="s">
        <v>58</v>
      </c>
      <c r="C65" s="1">
        <v>1</v>
      </c>
      <c r="D65" s="14">
        <v>1</v>
      </c>
      <c r="E65" s="14">
        <v>1</v>
      </c>
      <c r="F65" s="14">
        <v>1</v>
      </c>
      <c r="G65" s="15">
        <v>1</v>
      </c>
      <c r="H65" s="16">
        <v>1</v>
      </c>
      <c r="I65" s="16">
        <v>1</v>
      </c>
      <c r="J65" s="17">
        <v>1</v>
      </c>
      <c r="K65" s="14">
        <v>1</v>
      </c>
      <c r="L65" s="14">
        <v>1</v>
      </c>
    </row>
    <row r="66" spans="1:12" ht="11.25">
      <c r="A66" s="1" t="s">
        <v>59</v>
      </c>
      <c r="C66" s="14">
        <f aca="true" t="shared" si="15" ref="C66:L66">C13/C64</f>
        <v>17414.25</v>
      </c>
      <c r="D66" s="14">
        <f t="shared" si="15"/>
        <v>12507.4</v>
      </c>
      <c r="E66" s="14">
        <f t="shared" si="15"/>
        <v>12322.2</v>
      </c>
      <c r="F66" s="14">
        <f t="shared" si="15"/>
        <v>10649.6</v>
      </c>
      <c r="G66" s="15">
        <f t="shared" si="15"/>
        <v>9061.6</v>
      </c>
      <c r="H66" s="16">
        <f t="shared" si="15"/>
        <v>8678</v>
      </c>
      <c r="I66" s="16">
        <f t="shared" si="15"/>
        <v>8921.2</v>
      </c>
      <c r="J66" s="17">
        <f t="shared" si="15"/>
        <v>6881.8</v>
      </c>
      <c r="K66" s="14">
        <f t="shared" si="15"/>
        <v>1540.25</v>
      </c>
      <c r="L66" s="14">
        <f t="shared" si="15"/>
        <v>3385</v>
      </c>
    </row>
    <row r="67" spans="1:12" ht="11.25">
      <c r="A67" s="1" t="s">
        <v>60</v>
      </c>
      <c r="C67" s="14">
        <f aca="true" t="shared" si="16" ref="C67:L67">C17/C64</f>
        <v>31509.5</v>
      </c>
      <c r="D67" s="14">
        <f t="shared" si="16"/>
        <v>21532.2</v>
      </c>
      <c r="E67" s="14">
        <f t="shared" si="16"/>
        <v>21347.4</v>
      </c>
      <c r="F67" s="14">
        <f t="shared" si="16"/>
        <v>17971.8</v>
      </c>
      <c r="G67" s="15">
        <f t="shared" si="16"/>
        <v>25487.2</v>
      </c>
      <c r="H67" s="16">
        <f t="shared" si="16"/>
        <v>16518.4</v>
      </c>
      <c r="I67" s="16">
        <f t="shared" si="16"/>
        <v>15255.4</v>
      </c>
      <c r="J67" s="17">
        <f t="shared" si="16"/>
        <v>15532.4</v>
      </c>
      <c r="K67" s="14">
        <f t="shared" si="16"/>
        <v>16876.75</v>
      </c>
      <c r="L67" s="14">
        <f t="shared" si="16"/>
        <v>9681</v>
      </c>
    </row>
    <row r="68" spans="1:12" ht="11.25">
      <c r="A68" s="2" t="s">
        <v>61</v>
      </c>
      <c r="B68" s="2"/>
      <c r="C68" s="18">
        <f aca="true" t="shared" si="17" ref="C68:L68">(C40/C64)</f>
        <v>966.5</v>
      </c>
      <c r="D68" s="18">
        <f t="shared" si="17"/>
        <v>342.4</v>
      </c>
      <c r="E68" s="18">
        <f t="shared" si="17"/>
        <v>249.8</v>
      </c>
      <c r="F68" s="18">
        <f t="shared" si="17"/>
        <v>151.8</v>
      </c>
      <c r="G68" s="19">
        <f t="shared" si="17"/>
        <v>568.4</v>
      </c>
      <c r="H68" s="18">
        <f t="shared" si="17"/>
        <v>495.6</v>
      </c>
      <c r="I68" s="18">
        <f t="shared" si="17"/>
        <v>406</v>
      </c>
      <c r="J68" s="20">
        <f t="shared" si="17"/>
        <v>127.6</v>
      </c>
      <c r="K68" s="18">
        <f t="shared" si="17"/>
        <v>444</v>
      </c>
      <c r="L68" s="18">
        <f t="shared" si="17"/>
        <v>117</v>
      </c>
    </row>
    <row r="69" spans="1:10" ht="11.25">
      <c r="A69" s="9" t="s">
        <v>62</v>
      </c>
      <c r="G69" s="21"/>
      <c r="H69" s="22"/>
      <c r="I69" s="22"/>
      <c r="J69" s="23"/>
    </row>
    <row r="70" spans="1:12" ht="11.25">
      <c r="A70" s="1" t="s">
        <v>63</v>
      </c>
      <c r="C70" s="27">
        <f>(C11/G11)-1</f>
        <v>-0.004980060585145107</v>
      </c>
      <c r="D70" s="27">
        <f>(D11/H11)-1</f>
        <v>0.12079599398624419</v>
      </c>
      <c r="E70" s="27">
        <f>(E11/I11)-1</f>
        <v>0.15153229667302925</v>
      </c>
      <c r="F70" s="27">
        <f>(F11/J11)-1</f>
        <v>0.03682733168641161</v>
      </c>
      <c r="G70" s="28">
        <f>(G11/K11)-1</f>
        <v>0.4227689957582619</v>
      </c>
      <c r="H70" s="29">
        <f>(H11/119624)-1</f>
        <v>0.41230856684277395</v>
      </c>
      <c r="I70" s="29">
        <f>(I11/116994)-1</f>
        <v>0.37474571345539087</v>
      </c>
      <c r="J70" s="30">
        <f>(J11/121296)-1</f>
        <v>0.3716115947764147</v>
      </c>
      <c r="K70" s="27">
        <f>(K11/L11)-1</f>
        <v>0.27382813857326527</v>
      </c>
      <c r="L70" s="27">
        <f>(L11/113012)-1</f>
        <v>0.018617491947757747</v>
      </c>
    </row>
    <row r="71" spans="1:12" ht="11.25">
      <c r="A71" s="1" t="s">
        <v>64</v>
      </c>
      <c r="C71" s="27">
        <f>(C13/G13)-1</f>
        <v>0.5374106118124835</v>
      </c>
      <c r="D71" s="27">
        <f>(D13/H13)-1</f>
        <v>0.44127679188753177</v>
      </c>
      <c r="E71" s="27">
        <f>(E13/I13)-1</f>
        <v>0.3812267407972021</v>
      </c>
      <c r="F71" s="27">
        <f>F13/J13-1</f>
        <v>0.5475021070068877</v>
      </c>
      <c r="G71" s="28">
        <f>(G13/K13)-1</f>
        <v>6.354000973867879</v>
      </c>
      <c r="H71" s="29">
        <f>H13/11232-1</f>
        <v>2.8630698005698005</v>
      </c>
      <c r="I71" s="29">
        <f>I13/11735-1</f>
        <v>2.8011077971878993</v>
      </c>
      <c r="J71" s="30">
        <f>J13/19759-1</f>
        <v>0.7414342831114935</v>
      </c>
      <c r="K71" s="27">
        <f>(K13/L13)-1</f>
        <v>-0.5449778434268833</v>
      </c>
      <c r="L71" s="27">
        <f>L13/18770-1</f>
        <v>-0.2786361214704315</v>
      </c>
    </row>
    <row r="72" spans="2:12" ht="11.25">
      <c r="B72" s="1" t="s">
        <v>15</v>
      </c>
      <c r="C72" s="27">
        <v>0</v>
      </c>
      <c r="D72" s="27">
        <v>0</v>
      </c>
      <c r="E72" s="27">
        <v>0</v>
      </c>
      <c r="F72" s="27">
        <v>0</v>
      </c>
      <c r="G72" s="28">
        <v>0</v>
      </c>
      <c r="H72" s="29">
        <v>0</v>
      </c>
      <c r="I72" s="29">
        <f>(I14/504)-1</f>
        <v>-1</v>
      </c>
      <c r="J72" s="30">
        <f>(J14/527)-1</f>
        <v>-1</v>
      </c>
      <c r="K72" s="27">
        <f>(K14/L14)-1</f>
        <v>-1</v>
      </c>
      <c r="L72" s="27">
        <f>(L14/309)-1</f>
        <v>0.7055016181229774</v>
      </c>
    </row>
    <row r="73" spans="2:12" ht="11.25">
      <c r="B73" s="1" t="s">
        <v>16</v>
      </c>
      <c r="C73" s="27">
        <f>(C15/G15)-1</f>
        <v>0.5374106118124835</v>
      </c>
      <c r="D73" s="27">
        <f>(D15/H15)-1</f>
        <v>0.44127679188753177</v>
      </c>
      <c r="E73" s="27">
        <f>(E15/I15)-1</f>
        <v>0.3812267407972021</v>
      </c>
      <c r="F73" s="27">
        <f>(F15/J15)-1</f>
        <v>0.5475021070068877</v>
      </c>
      <c r="G73" s="28">
        <f>(G15/K15)-1</f>
        <v>6.354000973867879</v>
      </c>
      <c r="H73" s="29">
        <f>(H15/11231)-1</f>
        <v>2.8634137654705727</v>
      </c>
      <c r="I73" s="29">
        <f>(I15/11232)-1</f>
        <v>2.971331908831909</v>
      </c>
      <c r="J73" s="30">
        <f>(J15/19232)-1</f>
        <v>0.7891534941763727</v>
      </c>
      <c r="K73" s="27">
        <f>(K15/L15)-1</f>
        <v>-0.5265503727042189</v>
      </c>
      <c r="L73" s="27">
        <f>(L15/18461)-1</f>
        <v>-0.2951086073343806</v>
      </c>
    </row>
    <row r="74" spans="1:12" ht="11.25">
      <c r="A74" s="1" t="s">
        <v>65</v>
      </c>
      <c r="C74" s="27">
        <f>(C17/G17)-1</f>
        <v>-0.010970212498822907</v>
      </c>
      <c r="D74" s="27">
        <f>(D17/H17)-1</f>
        <v>0.303528186749322</v>
      </c>
      <c r="E74" s="27">
        <f>(E17/I17)-1</f>
        <v>0.399334006319074</v>
      </c>
      <c r="F74" s="27">
        <f>(F17/J17)-1</f>
        <v>0.157052355077129</v>
      </c>
      <c r="G74" s="28">
        <f>G17/K17-1</f>
        <v>0.887744974595227</v>
      </c>
      <c r="H74" s="29">
        <f>H17/46787-1</f>
        <v>0.765276679419497</v>
      </c>
      <c r="I74" s="29">
        <f>I17/42538-1</f>
        <v>0.7931496544266303</v>
      </c>
      <c r="J74" s="30">
        <f>J17/45036-1</f>
        <v>0.724442668087752</v>
      </c>
      <c r="K74" s="27">
        <f>(K17/L17)-1</f>
        <v>0.7432858175808283</v>
      </c>
      <c r="L74" s="27">
        <f>L17/30703-1</f>
        <v>0.261244829495489</v>
      </c>
    </row>
    <row r="75" spans="2:12" ht="11.25">
      <c r="B75" s="1" t="s">
        <v>15</v>
      </c>
      <c r="C75" s="27">
        <v>0</v>
      </c>
      <c r="D75" s="27">
        <v>0</v>
      </c>
      <c r="E75" s="27">
        <v>0</v>
      </c>
      <c r="F75" s="27">
        <v>0</v>
      </c>
      <c r="G75" s="28">
        <v>0</v>
      </c>
      <c r="H75" s="29">
        <v>0</v>
      </c>
      <c r="I75" s="29">
        <v>0</v>
      </c>
      <c r="J75" s="30">
        <v>0</v>
      </c>
      <c r="K75" s="27">
        <v>0</v>
      </c>
      <c r="L75" s="27">
        <v>0</v>
      </c>
    </row>
    <row r="76" spans="2:12" ht="11.25">
      <c r="B76" s="1" t="s">
        <v>16</v>
      </c>
      <c r="C76" s="27">
        <f>(C22/G22)-1</f>
        <v>-0.010970212498822907</v>
      </c>
      <c r="D76" s="27">
        <f>(D22/H22)-1</f>
        <v>0.303528186749322</v>
      </c>
      <c r="E76" s="27">
        <f>(E22/I22)-1</f>
        <v>0.399334006319074</v>
      </c>
      <c r="F76" s="27">
        <f>(F22/J22)-1</f>
        <v>0.157052355077129</v>
      </c>
      <c r="G76" s="28">
        <f>G22/K22-1</f>
        <v>0.887744974595227</v>
      </c>
      <c r="H76" s="29">
        <f>(H22/46787)-1</f>
        <v>0.765276679419497</v>
      </c>
      <c r="I76" s="29">
        <f>(I22/42538)-1</f>
        <v>0.7931496544266303</v>
      </c>
      <c r="J76" s="30">
        <f>(J22/45036)-1</f>
        <v>0.724442668087752</v>
      </c>
      <c r="K76" s="27">
        <f>(K22/L22)-1</f>
        <v>0.7432858175808283</v>
      </c>
      <c r="L76" s="27">
        <f>(L22/30703)-1</f>
        <v>0.261244829495489</v>
      </c>
    </row>
    <row r="77" spans="1:12" ht="11.25">
      <c r="A77" s="1" t="s">
        <v>66</v>
      </c>
      <c r="C77" s="27">
        <f>(C25/G25)-1</f>
        <v>-0.31545629494581184</v>
      </c>
      <c r="D77" s="27">
        <f>(D25/H25)-1</f>
        <v>-0.36412196181664835</v>
      </c>
      <c r="E77" s="27">
        <f>(E25/I25)-1</f>
        <v>-0.3687272163189328</v>
      </c>
      <c r="F77" s="27">
        <f>(F25/J25)-1</f>
        <v>-0.4908348573129758</v>
      </c>
      <c r="G77" s="28">
        <f>(G25/K25)-1</f>
        <v>-0.14860407459307967</v>
      </c>
      <c r="H77" s="29">
        <f>(H25/45809)-1</f>
        <v>-0.1458665327774018</v>
      </c>
      <c r="I77" s="29">
        <f>(I25/45377)-1</f>
        <v>-0.14760781893911012</v>
      </c>
      <c r="J77" s="30">
        <f>(J25/45827)-1</f>
        <v>0.02616361533593725</v>
      </c>
      <c r="K77" s="27">
        <f>(K25/L25)-1</f>
        <v>0.022213896908125363</v>
      </c>
      <c r="L77" s="27">
        <f>(L25/44910)-1</f>
        <v>0.010398574927632964</v>
      </c>
    </row>
    <row r="78" spans="1:12" ht="11.25">
      <c r="A78" s="2" t="s">
        <v>67</v>
      </c>
      <c r="B78" s="2"/>
      <c r="C78" s="31">
        <f>(C40/G40)-1</f>
        <v>0.3603096410978184</v>
      </c>
      <c r="D78" s="31">
        <f>(D40/H40)-1</f>
        <v>-0.30912025827280065</v>
      </c>
      <c r="E78" s="31">
        <f>(E40/I40)-1</f>
        <v>-0.3847290640394089</v>
      </c>
      <c r="F78" s="31">
        <f>(F40/J40)-1</f>
        <v>0.18965517241379315</v>
      </c>
      <c r="G78" s="32">
        <f>(G40/K40)-1</f>
        <v>0.6002252252252251</v>
      </c>
      <c r="H78" s="31">
        <f>(H40/1202)-1</f>
        <v>1.0615640599001663</v>
      </c>
      <c r="I78" s="31">
        <f>(I40/774)-1</f>
        <v>1.6227390180878554</v>
      </c>
      <c r="J78" s="33">
        <f>(J40/449)-1</f>
        <v>0.42093541202672613</v>
      </c>
      <c r="K78" s="31">
        <f>(K40/L40)-1</f>
        <v>2.7948717948717947</v>
      </c>
      <c r="L78" s="31">
        <f>(L40/936)-1</f>
        <v>-0.5</v>
      </c>
    </row>
  </sheetData>
  <sheetProtection password="CD66" sheet="1" objects="1" scenarios="1"/>
  <mergeCells count="7">
    <mergeCell ref="K8:L8"/>
    <mergeCell ref="C8:F8"/>
    <mergeCell ref="C4:I4"/>
    <mergeCell ref="C3:I3"/>
    <mergeCell ref="C2:I2"/>
    <mergeCell ref="C5:I5"/>
    <mergeCell ref="G8:J8"/>
  </mergeCells>
  <printOptions horizontalCentered="1" verticalCentered="1"/>
  <pageMargins left="0.75" right="0.75" top="1" bottom="1" header="0" footer="0"/>
  <pageSetup horizontalDpi="300" verticalDpi="300" orientation="portrait" r:id="rId3"/>
  <legacyDrawing r:id="rId2"/>
  <oleObjects>
    <oleObject progId="MSPhotoEd.3" shapeId="4671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2002-03-19T20:27:54Z</dcterms:created>
  <dcterms:modified xsi:type="dcterms:W3CDTF">2002-07-12T14:05:06Z</dcterms:modified>
  <cp:category/>
  <cp:version/>
  <cp:contentType/>
  <cp:contentStatus/>
</cp:coreProperties>
</file>