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Bladex" sheetId="1" r:id="rId1"/>
  </sheets>
  <definedNames/>
  <calcPr fullCalcOnLoad="1"/>
</workbook>
</file>

<file path=xl/sharedStrings.xml><?xml version="1.0" encoding="utf-8"?>
<sst xmlns="http://schemas.openxmlformats.org/spreadsheetml/2006/main" count="84" uniqueCount="68">
  <si>
    <t>CUADRO No. 18-33</t>
  </si>
  <si>
    <t>BANCO LATINOAMERICANO DE EXPORTACIONES (BLADEX)</t>
  </si>
  <si>
    <t>ESTADISTICA FINANCIERA. AÑO  1999, TRIMESTRES DE 2000 Y 2001</t>
  </si>
  <si>
    <t>(En miles de balboas)</t>
  </si>
  <si>
    <t xml:space="preserve">Año </t>
  </si>
  <si>
    <t>Diciembre</t>
  </si>
  <si>
    <t>Septiembre</t>
  </si>
  <si>
    <t>Junio</t>
  </si>
  <si>
    <t>Marzo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</si>
  <si>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</si>
  <si>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</si>
  <si>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</si>
  <si>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</si>
  <si>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</si>
  <si>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</si>
  <si>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</si>
  <si>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</si>
  <si>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</si>
  <si>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</si>
  <si>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</si>
  <si>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</si>
  <si>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</si>
  <si>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</si>
  <si>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</si>
  <si>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</si>
  <si>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</si>
  <si>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</si>
  <si>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</si>
  <si>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</si>
  <si>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</si>
  <si>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</si>
  <si>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</si>
  <si>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</si>
  <si>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</si>
  <si>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</si>
  <si>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</si>
  <si>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Provisiones para Préstamos</t>
  </si>
  <si>
    <t>Préstamos Vencidos / Préstamos Totales</t>
  </si>
  <si>
    <t>Total de Provisiones / Préstamos Vencidos</t>
  </si>
  <si>
    <t>Provisiones Cuentas Malas / Préstamos Totales</t>
  </si>
  <si>
    <t>Razones de Capital</t>
  </si>
  <si>
    <t>Patrimonio / Activos Generadores de Ingreso</t>
  </si>
  <si>
    <t>Patrimonio /Préstamos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</si>
  <si>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</si>
  <si>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</si>
  <si>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</si>
  <si>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</si>
  <si>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</si>
  <si>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Gen. de Ingresos (Promedio)</t>
  </si>
  <si>
    <t>Utilidad Neta / Total de Activos (Promedio)</t>
  </si>
  <si>
    <t>Utilidad Neta / Patrimonio Total (Promedio)</t>
  </si>
  <si>
    <t>Ingresos por Intereses / Activos Gen. De Ingreso (Promedio)</t>
  </si>
  <si>
    <t>Egresos Operaciones / Activos Gen. De Ingreso (Promedio)</t>
  </si>
  <si>
    <t>Ingresos Netos por Intereses / Activos Gen. De Ingreso (Promedio)</t>
  </si>
  <si>
    <t>Egresos Generales / Ingresos de Operaciones</t>
  </si>
  <si>
    <t>Otros Ingresos / Activos Gen. De Ingreso (Promedio)</t>
  </si>
  <si>
    <t>Productividad</t>
  </si>
  <si>
    <t>Número de Empleados</t>
  </si>
  <si>
    <t>Sucursales</t>
  </si>
  <si>
    <t>Préstamos / Empleados  (En miles de balboas)</t>
  </si>
  <si>
    <t>Depósitos Totales / Empleados  (En miles de balboas)</t>
  </si>
  <si>
    <t>Utilidad Neta / Empleados  (En miles de balboas)</t>
  </si>
  <si>
    <t>Tasas de Crecimiento (12 meses)</t>
  </si>
  <si>
    <t>Activos</t>
  </si>
  <si>
    <t>Préstamos</t>
  </si>
  <si>
    <t>Depósitos</t>
  </si>
  <si>
    <t>Patrimonio</t>
  </si>
  <si>
    <t>Utilidad Neta</t>
  </si>
</sst>
</file>

<file path=xl/styles.xml><?xml version="1.0" encoding="utf-8"?>
<styleSheet xmlns="http://schemas.openxmlformats.org/spreadsheetml/2006/main">
  <numFmts count="31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B/.&quot;\ #,##0;&quot;B/.&quot;\ \-#,##0"/>
    <numFmt numFmtId="165" formatCode="&quot;B/.&quot;\ #,##0;[Red]&quot;B/.&quot;\ \-#,##0"/>
    <numFmt numFmtId="166" formatCode="&quot;B/.&quot;\ #,##0.00;&quot;B/.&quot;\ \-#,##0.00"/>
    <numFmt numFmtId="167" formatCode="&quot;B/.&quot;\ #,##0.00;[Red]&quot;B/.&quot;\ \-#,##0.00"/>
    <numFmt numFmtId="168" formatCode="_ &quot;B/.&quot;\ * #,##0_ ;_ &quot;B/.&quot;\ * \-#,##0_ ;_ &quot;B/.&quot;\ * &quot;-&quot;_ ;_ @_ "/>
    <numFmt numFmtId="169" formatCode="_ * #,##0_ ;_ * \-#,##0_ ;_ * &quot;-&quot;_ ;_ @_ "/>
    <numFmt numFmtId="170" formatCode="_ &quot;B/.&quot;\ * #,##0.00_ ;_ &quot;B/.&quot;\ * \-#,##0.00_ ;_ &quot;B/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%"/>
    <numFmt numFmtId="182" formatCode="_(* #,##0.0000_);_(* \(#,##0.0000\);_(* &quot;-&quot;??_);_(@_)"/>
    <numFmt numFmtId="183" formatCode="0.00000"/>
    <numFmt numFmtId="184" formatCode="0.0000"/>
    <numFmt numFmtId="185" formatCode="0.000"/>
    <numFmt numFmtId="186" formatCode="0.0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0" xfId="0" applyFont="1" applyAlignment="1">
      <alignment/>
    </xf>
    <xf numFmtId="179" fontId="1" fillId="0" borderId="0" xfId="15" applyNumberFormat="1" applyFont="1" applyAlignment="1">
      <alignment/>
    </xf>
    <xf numFmtId="179" fontId="1" fillId="0" borderId="3" xfId="15" applyNumberFormat="1" applyFont="1" applyBorder="1" applyAlignment="1">
      <alignment/>
    </xf>
    <xf numFmtId="179" fontId="1" fillId="0" borderId="0" xfId="15" applyNumberFormat="1" applyFont="1" applyBorder="1" applyAlignment="1">
      <alignment/>
    </xf>
    <xf numFmtId="179" fontId="1" fillId="0" borderId="4" xfId="15" applyNumberFormat="1" applyFont="1" applyBorder="1" applyAlignment="1">
      <alignment/>
    </xf>
    <xf numFmtId="179" fontId="2" fillId="0" borderId="0" xfId="15" applyNumberFormat="1" applyFont="1" applyAlignment="1">
      <alignment/>
    </xf>
    <xf numFmtId="179" fontId="2" fillId="0" borderId="3" xfId="15" applyNumberFormat="1" applyFont="1" applyBorder="1" applyAlignment="1">
      <alignment/>
    </xf>
    <xf numFmtId="179" fontId="2" fillId="0" borderId="0" xfId="15" applyNumberFormat="1" applyFont="1" applyBorder="1" applyAlignment="1">
      <alignment/>
    </xf>
    <xf numFmtId="179" fontId="2" fillId="0" borderId="4" xfId="15" applyNumberFormat="1" applyFont="1" applyBorder="1" applyAlignment="1">
      <alignment/>
    </xf>
    <xf numFmtId="179" fontId="2" fillId="0" borderId="1" xfId="15" applyNumberFormat="1" applyFont="1" applyBorder="1" applyAlignment="1">
      <alignment/>
    </xf>
    <xf numFmtId="179" fontId="2" fillId="0" borderId="5" xfId="15" applyNumberFormat="1" applyFont="1" applyBorder="1" applyAlignment="1">
      <alignment/>
    </xf>
    <xf numFmtId="179" fontId="2" fillId="0" borderId="6" xfId="15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179" fontId="2" fillId="0" borderId="0" xfId="0" applyNumberFormat="1" applyFont="1" applyAlignment="1">
      <alignment/>
    </xf>
    <xf numFmtId="179" fontId="2" fillId="0" borderId="1" xfId="0" applyNumberFormat="1" applyFont="1" applyBorder="1" applyAlignment="1">
      <alignment/>
    </xf>
    <xf numFmtId="10" fontId="2" fillId="0" borderId="0" xfId="19" applyNumberFormat="1" applyFont="1" applyAlignment="1">
      <alignment/>
    </xf>
    <xf numFmtId="10" fontId="2" fillId="0" borderId="3" xfId="19" applyNumberFormat="1" applyFont="1" applyBorder="1" applyAlignment="1">
      <alignment/>
    </xf>
    <xf numFmtId="10" fontId="2" fillId="0" borderId="0" xfId="19" applyNumberFormat="1" applyFont="1" applyBorder="1" applyAlignment="1">
      <alignment/>
    </xf>
    <xf numFmtId="10" fontId="2" fillId="0" borderId="4" xfId="19" applyNumberFormat="1" applyFont="1" applyBorder="1" applyAlignment="1">
      <alignment/>
    </xf>
    <xf numFmtId="10" fontId="2" fillId="0" borderId="1" xfId="19" applyNumberFormat="1" applyFont="1" applyBorder="1" applyAlignment="1">
      <alignment/>
    </xf>
    <xf numFmtId="10" fontId="2" fillId="0" borderId="5" xfId="19" applyNumberFormat="1" applyFont="1" applyBorder="1" applyAlignment="1">
      <alignment/>
    </xf>
    <xf numFmtId="10" fontId="2" fillId="0" borderId="6" xfId="19" applyNumberFormat="1" applyFont="1" applyBorder="1" applyAlignment="1">
      <alignment/>
    </xf>
    <xf numFmtId="181" fontId="2" fillId="0" borderId="0" xfId="19" applyNumberFormat="1" applyFont="1" applyAlignment="1">
      <alignment/>
    </xf>
    <xf numFmtId="181" fontId="2" fillId="0" borderId="3" xfId="19" applyNumberFormat="1" applyFont="1" applyBorder="1" applyAlignment="1">
      <alignment/>
    </xf>
    <xf numFmtId="181" fontId="2" fillId="0" borderId="0" xfId="19" applyNumberFormat="1" applyFont="1" applyBorder="1" applyAlignment="1">
      <alignment/>
    </xf>
    <xf numFmtId="181" fontId="2" fillId="0" borderId="4" xfId="19" applyNumberFormat="1" applyFont="1" applyBorder="1" applyAlignment="1">
      <alignment/>
    </xf>
    <xf numFmtId="181" fontId="2" fillId="0" borderId="1" xfId="19" applyNumberFormat="1" applyFont="1" applyBorder="1" applyAlignment="1">
      <alignment/>
    </xf>
    <xf numFmtId="181" fontId="2" fillId="0" borderId="5" xfId="19" applyNumberFormat="1" applyFont="1" applyBorder="1" applyAlignment="1">
      <alignment/>
    </xf>
    <xf numFmtId="181" fontId="2" fillId="0" borderId="6" xfId="19" applyNumberFormat="1" applyFont="1" applyBorder="1" applyAlignment="1">
      <alignment/>
    </xf>
    <xf numFmtId="10" fontId="2" fillId="0" borderId="0" xfId="19" applyNumberFormat="1" applyFont="1" applyFill="1" applyBorder="1" applyAlignment="1">
      <alignment/>
    </xf>
    <xf numFmtId="10" fontId="2" fillId="0" borderId="3" xfId="19" applyNumberFormat="1" applyFont="1" applyFill="1" applyBorder="1" applyAlignment="1">
      <alignment/>
    </xf>
    <xf numFmtId="10" fontId="2" fillId="0" borderId="1" xfId="19" applyNumberFormat="1" applyFont="1" applyFill="1" applyBorder="1" applyAlignment="1">
      <alignment/>
    </xf>
    <xf numFmtId="10" fontId="2" fillId="0" borderId="5" xfId="19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8"/>
  <sheetViews>
    <sheetView tabSelected="1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7" sqref="H7"/>
    </sheetView>
  </sheetViews>
  <sheetFormatPr defaultColWidth="11.421875" defaultRowHeight="12.75"/>
  <cols>
    <col min="1" max="1" width="2.00390625" style="1" customWidth="1"/>
    <col min="2" max="2" width="40.57421875" style="1" customWidth="1"/>
    <col min="3" max="3" width="9.421875" style="1" customWidth="1"/>
    <col min="4" max="4" width="10.140625" style="1" customWidth="1"/>
    <col min="5" max="7" width="9.00390625" style="1" bestFit="1" customWidth="1"/>
    <col min="8" max="8" width="9.57421875" style="1" customWidth="1"/>
    <col min="9" max="11" width="9.00390625" style="1" bestFit="1" customWidth="1"/>
    <col min="12" max="12" width="7.421875" style="1" hidden="1" customWidth="1"/>
    <col min="13" max="16384" width="11.421875" style="1" customWidth="1"/>
  </cols>
  <sheetData>
    <row r="1" ht="11.25"/>
    <row r="2" spans="2:12" ht="11.25">
      <c r="B2" s="40"/>
      <c r="C2" s="40"/>
      <c r="D2" s="40"/>
      <c r="E2" s="40"/>
      <c r="F2" s="40" t="s">
        <v>0</v>
      </c>
      <c r="H2" s="40"/>
      <c r="I2" s="40"/>
      <c r="J2" s="40"/>
      <c r="K2" s="40"/>
      <c r="L2" s="40"/>
    </row>
    <row r="3" spans="2:12" ht="11.25">
      <c r="B3" s="40"/>
      <c r="C3" s="40"/>
      <c r="D3" s="40"/>
      <c r="E3" s="40"/>
      <c r="F3" s="40" t="s">
        <v>1</v>
      </c>
      <c r="H3" s="40"/>
      <c r="I3" s="40"/>
      <c r="J3" s="40"/>
      <c r="K3" s="40"/>
      <c r="L3" s="40"/>
    </row>
    <row r="4" spans="2:12" ht="11.25">
      <c r="B4" s="40"/>
      <c r="C4" s="40"/>
      <c r="D4" s="40"/>
      <c r="E4" s="40"/>
      <c r="F4" s="40" t="s">
        <v>2</v>
      </c>
      <c r="H4" s="40"/>
      <c r="I4" s="40"/>
      <c r="J4" s="40"/>
      <c r="K4" s="40"/>
      <c r="L4" s="40"/>
    </row>
    <row r="5" spans="2:12" ht="11.25">
      <c r="B5" s="39"/>
      <c r="C5" s="39"/>
      <c r="D5" s="39"/>
      <c r="E5" s="39"/>
      <c r="F5" s="39" t="s">
        <v>3</v>
      </c>
      <c r="H5" s="39"/>
      <c r="I5" s="39"/>
      <c r="J5" s="39"/>
      <c r="K5" s="39"/>
      <c r="L5" s="39"/>
    </row>
    <row r="6" spans="1:12" ht="11.2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2" ht="11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1.25">
      <c r="A8" s="3"/>
      <c r="B8" s="3"/>
      <c r="C8" s="47">
        <v>2001</v>
      </c>
      <c r="D8" s="47"/>
      <c r="E8" s="47"/>
      <c r="F8" s="48"/>
      <c r="G8" s="46">
        <v>2000</v>
      </c>
      <c r="H8" s="47"/>
      <c r="I8" s="47"/>
      <c r="J8" s="48"/>
      <c r="K8" s="47" t="s">
        <v>4</v>
      </c>
      <c r="L8" s="47"/>
    </row>
    <row r="9" spans="1:12" s="4" customFormat="1" ht="11.25">
      <c r="A9" s="41"/>
      <c r="B9" s="41"/>
      <c r="C9" s="42" t="s">
        <v>5</v>
      </c>
      <c r="D9" s="41" t="s">
        <v>6</v>
      </c>
      <c r="E9" s="41" t="s">
        <v>7</v>
      </c>
      <c r="F9" s="41" t="s">
        <v>8</v>
      </c>
      <c r="G9" s="43" t="s">
        <v>5</v>
      </c>
      <c r="H9" s="41" t="s">
        <v>6</v>
      </c>
      <c r="I9" s="41" t="s">
        <v>7</v>
      </c>
      <c r="J9" s="44" t="s">
        <v>8</v>
      </c>
      <c r="K9" s="45" t="s">
        <v>9</v>
      </c>
      <c r="L9" s="45" t="s">
        <v>10</v>
      </c>
    </row>
    <row r="10" spans="1:12" ht="11.25">
      <c r="A10" s="4" t="s">
        <v>11</v>
      </c>
      <c r="B10" s="4"/>
      <c r="C10" s="4"/>
      <c r="D10" s="4"/>
      <c r="E10" s="4"/>
      <c r="F10" s="5"/>
      <c r="G10" s="6"/>
      <c r="H10" s="7"/>
      <c r="I10" s="7"/>
      <c r="J10" s="8"/>
      <c r="K10" s="5"/>
      <c r="L10" s="5"/>
    </row>
    <row r="11" spans="1:12" ht="11.25">
      <c r="A11" s="1" t="s">
        <v>12</v>
      </c>
      <c r="C11" s="9">
        <v>5734126</v>
      </c>
      <c r="D11" s="9">
        <v>5948485</v>
      </c>
      <c r="E11" s="9">
        <v>5477809</v>
      </c>
      <c r="F11" s="9">
        <v>5728562</v>
      </c>
      <c r="G11" s="10">
        <v>5354799</v>
      </c>
      <c r="H11" s="11">
        <v>5234557</v>
      </c>
      <c r="I11" s="11">
        <v>4665085</v>
      </c>
      <c r="J11" s="12">
        <v>4561110</v>
      </c>
      <c r="K11" s="9">
        <v>4956888</v>
      </c>
      <c r="L11" s="9">
        <v>4979769</v>
      </c>
    </row>
    <row r="12" spans="1:12" ht="11.25">
      <c r="A12" s="1" t="s">
        <v>13</v>
      </c>
      <c r="C12" s="9">
        <v>559215</v>
      </c>
      <c r="D12" s="9">
        <v>585978</v>
      </c>
      <c r="E12" s="9">
        <v>272993</v>
      </c>
      <c r="F12" s="9">
        <v>237776</v>
      </c>
      <c r="G12" s="10">
        <v>297024</v>
      </c>
      <c r="H12" s="11">
        <v>237731</v>
      </c>
      <c r="I12" s="11">
        <v>231840</v>
      </c>
      <c r="J12" s="12">
        <v>312992</v>
      </c>
      <c r="K12" s="9">
        <v>380981</v>
      </c>
      <c r="L12" s="9">
        <v>286251</v>
      </c>
    </row>
    <row r="13" spans="1:12" ht="11.25">
      <c r="A13" s="1" t="s">
        <v>14</v>
      </c>
      <c r="C13" s="9">
        <f aca="true" t="shared" si="0" ref="C13:L13">C14+C15</f>
        <v>4611553</v>
      </c>
      <c r="D13" s="9">
        <f t="shared" si="0"/>
        <v>4799501</v>
      </c>
      <c r="E13" s="9">
        <f t="shared" si="0"/>
        <v>4574667</v>
      </c>
      <c r="F13" s="9">
        <f t="shared" si="0"/>
        <v>4835006</v>
      </c>
      <c r="G13" s="10">
        <f t="shared" si="0"/>
        <v>4491717</v>
      </c>
      <c r="H13" s="11">
        <f t="shared" si="0"/>
        <v>4538325</v>
      </c>
      <c r="I13" s="11">
        <f t="shared" si="0"/>
        <v>4070039</v>
      </c>
      <c r="J13" s="12">
        <f t="shared" si="0"/>
        <v>3874901</v>
      </c>
      <c r="K13" s="9">
        <f t="shared" si="0"/>
        <v>4225913</v>
      </c>
      <c r="L13" s="9">
        <f t="shared" si="0"/>
        <v>4409256</v>
      </c>
    </row>
    <row r="14" spans="2:12" ht="11.25">
      <c r="B14" s="1" t="s">
        <v>15</v>
      </c>
      <c r="C14" s="9">
        <v>666350</v>
      </c>
      <c r="D14" s="9">
        <v>617700</v>
      </c>
      <c r="E14" s="9">
        <v>482963</v>
      </c>
      <c r="F14" s="9">
        <v>464550</v>
      </c>
      <c r="G14" s="10">
        <v>399647</v>
      </c>
      <c r="H14" s="11">
        <v>455632</v>
      </c>
      <c r="I14" s="11">
        <v>422650</v>
      </c>
      <c r="J14" s="12">
        <v>406652</v>
      </c>
      <c r="K14" s="9">
        <v>512374</v>
      </c>
      <c r="L14" s="9">
        <v>303306</v>
      </c>
    </row>
    <row r="15" spans="2:12" ht="11.25">
      <c r="B15" s="1" t="s">
        <v>16</v>
      </c>
      <c r="C15" s="9">
        <v>3945203</v>
      </c>
      <c r="D15" s="9">
        <v>4181801</v>
      </c>
      <c r="E15" s="9">
        <v>4091704</v>
      </c>
      <c r="F15" s="9">
        <v>4370456</v>
      </c>
      <c r="G15" s="10">
        <v>4092070</v>
      </c>
      <c r="H15" s="11">
        <v>4082693</v>
      </c>
      <c r="I15" s="11">
        <v>3647389</v>
      </c>
      <c r="J15" s="12">
        <v>3468249</v>
      </c>
      <c r="K15" s="9">
        <v>3713539</v>
      </c>
      <c r="L15" s="9">
        <v>4105950</v>
      </c>
    </row>
    <row r="16" spans="1:12" ht="11.25">
      <c r="A16" s="1" t="s">
        <v>17</v>
      </c>
      <c r="C16" s="9">
        <v>395097</v>
      </c>
      <c r="D16" s="9">
        <v>412544</v>
      </c>
      <c r="E16" s="9">
        <v>461222</v>
      </c>
      <c r="F16" s="9">
        <v>472145</v>
      </c>
      <c r="G16" s="10">
        <v>425314</v>
      </c>
      <c r="H16" s="11">
        <v>299824</v>
      </c>
      <c r="I16" s="11">
        <v>253121</v>
      </c>
      <c r="J16" s="12">
        <v>225748</v>
      </c>
      <c r="K16" s="9">
        <v>208406</v>
      </c>
      <c r="L16" s="9">
        <v>192552</v>
      </c>
    </row>
    <row r="17" spans="1:12" ht="11.25">
      <c r="A17" s="1" t="s">
        <v>18</v>
      </c>
      <c r="C17" s="9">
        <f aca="true" t="shared" si="1" ref="C17:L17">C18+C22</f>
        <v>1314865</v>
      </c>
      <c r="D17" s="9">
        <f t="shared" si="1"/>
        <v>1499518</v>
      </c>
      <c r="E17" s="9">
        <f t="shared" si="1"/>
        <v>1413841</v>
      </c>
      <c r="F17" s="9">
        <f t="shared" si="1"/>
        <v>1478471</v>
      </c>
      <c r="G17" s="10">
        <f t="shared" si="1"/>
        <v>1436511</v>
      </c>
      <c r="H17" s="11">
        <f t="shared" si="1"/>
        <v>1553178</v>
      </c>
      <c r="I17" s="11">
        <f t="shared" si="1"/>
        <v>1503445</v>
      </c>
      <c r="J17" s="12">
        <f t="shared" si="1"/>
        <v>1361304</v>
      </c>
      <c r="K17" s="9">
        <f t="shared" si="1"/>
        <v>1360363</v>
      </c>
      <c r="L17" s="9">
        <f t="shared" si="1"/>
        <v>1048523</v>
      </c>
    </row>
    <row r="18" spans="2:12" ht="11.25">
      <c r="B18" s="1" t="s">
        <v>15</v>
      </c>
      <c r="C18" s="9">
        <f aca="true" t="shared" si="2" ref="C18:L18">SUM(C19:C21)</f>
        <v>194579</v>
      </c>
      <c r="D18" s="9">
        <f t="shared" si="2"/>
        <v>228012</v>
      </c>
      <c r="E18" s="9">
        <f t="shared" si="2"/>
        <v>270055</v>
      </c>
      <c r="F18" s="9">
        <f t="shared" si="2"/>
        <v>357787</v>
      </c>
      <c r="G18" s="10">
        <f t="shared" si="2"/>
        <v>364680</v>
      </c>
      <c r="H18" s="11">
        <f t="shared" si="2"/>
        <v>329465</v>
      </c>
      <c r="I18" s="11">
        <f t="shared" si="2"/>
        <v>360680</v>
      </c>
      <c r="J18" s="12">
        <f t="shared" si="2"/>
        <v>295308</v>
      </c>
      <c r="K18" s="9">
        <f t="shared" si="2"/>
        <v>267411</v>
      </c>
      <c r="L18" s="9">
        <f t="shared" si="2"/>
        <v>229784</v>
      </c>
    </row>
    <row r="19" spans="2:12" ht="11.25">
      <c r="B19" s="1" t="s">
        <v>19</v>
      </c>
      <c r="C19" s="9">
        <v>0</v>
      </c>
      <c r="D19" s="9">
        <v>0</v>
      </c>
      <c r="E19" s="9">
        <v>0</v>
      </c>
      <c r="F19" s="9">
        <v>0</v>
      </c>
      <c r="G19" s="10">
        <v>1328</v>
      </c>
      <c r="H19" s="11">
        <v>0</v>
      </c>
      <c r="I19" s="11">
        <v>0</v>
      </c>
      <c r="J19" s="12">
        <v>0</v>
      </c>
      <c r="K19" s="9">
        <v>0</v>
      </c>
      <c r="L19" s="9">
        <v>14</v>
      </c>
    </row>
    <row r="20" spans="2:12" ht="11.25">
      <c r="B20" s="1" t="s">
        <v>20</v>
      </c>
      <c r="C20" s="9">
        <f>4005+43</f>
        <v>4048</v>
      </c>
      <c r="D20" s="9">
        <v>4027</v>
      </c>
      <c r="E20" s="9">
        <f>8628</f>
        <v>8628</v>
      </c>
      <c r="F20" s="9">
        <v>35020</v>
      </c>
      <c r="G20" s="10">
        <v>44422</v>
      </c>
      <c r="H20" s="11">
        <v>9477</v>
      </c>
      <c r="I20" s="11">
        <f>1389</f>
        <v>1389</v>
      </c>
      <c r="J20" s="12">
        <v>101</v>
      </c>
      <c r="K20" s="9">
        <v>858</v>
      </c>
      <c r="L20" s="9">
        <v>917</v>
      </c>
    </row>
    <row r="21" spans="2:12" ht="11.25">
      <c r="B21" s="1" t="s">
        <v>21</v>
      </c>
      <c r="C21" s="9">
        <f>33896+156635</f>
        <v>190531</v>
      </c>
      <c r="D21" s="9">
        <v>223985</v>
      </c>
      <c r="E21" s="9">
        <v>261427</v>
      </c>
      <c r="F21" s="9">
        <v>322767</v>
      </c>
      <c r="G21" s="10">
        <v>318930</v>
      </c>
      <c r="H21" s="11">
        <v>319988</v>
      </c>
      <c r="I21" s="11">
        <v>359291</v>
      </c>
      <c r="J21" s="12">
        <v>295207</v>
      </c>
      <c r="K21" s="9">
        <v>266553</v>
      </c>
      <c r="L21" s="9">
        <v>228853</v>
      </c>
    </row>
    <row r="22" spans="2:12" ht="11.25">
      <c r="B22" s="1" t="s">
        <v>16</v>
      </c>
      <c r="C22" s="9">
        <f aca="true" t="shared" si="3" ref="C22:L22">SUM(C23:C24)</f>
        <v>1120286</v>
      </c>
      <c r="D22" s="9">
        <f t="shared" si="3"/>
        <v>1271506</v>
      </c>
      <c r="E22" s="9">
        <f t="shared" si="3"/>
        <v>1143786</v>
      </c>
      <c r="F22" s="9">
        <f t="shared" si="3"/>
        <v>1120684</v>
      </c>
      <c r="G22" s="10">
        <f t="shared" si="3"/>
        <v>1071831</v>
      </c>
      <c r="H22" s="11">
        <f t="shared" si="3"/>
        <v>1223713</v>
      </c>
      <c r="I22" s="11">
        <f t="shared" si="3"/>
        <v>1142765</v>
      </c>
      <c r="J22" s="12">
        <f t="shared" si="3"/>
        <v>1065996</v>
      </c>
      <c r="K22" s="9">
        <f t="shared" si="3"/>
        <v>1092952</v>
      </c>
      <c r="L22" s="9">
        <f t="shared" si="3"/>
        <v>818739</v>
      </c>
    </row>
    <row r="23" spans="2:12" ht="11.25">
      <c r="B23" s="1" t="s">
        <v>20</v>
      </c>
      <c r="C23" s="9">
        <f>1995+12710</f>
        <v>14705</v>
      </c>
      <c r="D23" s="9">
        <v>8998</v>
      </c>
      <c r="E23" s="9">
        <f>7968</f>
        <v>7968</v>
      </c>
      <c r="F23" s="9">
        <f>16033</f>
        <v>16033</v>
      </c>
      <c r="G23" s="10">
        <v>1344</v>
      </c>
      <c r="H23" s="11">
        <v>12177</v>
      </c>
      <c r="I23" s="11">
        <v>16042</v>
      </c>
      <c r="J23" s="12">
        <v>11114</v>
      </c>
      <c r="K23" s="9">
        <v>11703</v>
      </c>
      <c r="L23" s="9">
        <v>43513</v>
      </c>
    </row>
    <row r="24" spans="2:12" ht="11.25">
      <c r="B24" s="1" t="s">
        <v>21</v>
      </c>
      <c r="C24" s="9">
        <f>41+1003719+72800+29021</f>
        <v>1105581</v>
      </c>
      <c r="D24" s="9">
        <v>1262508</v>
      </c>
      <c r="E24" s="9">
        <v>1135818</v>
      </c>
      <c r="F24" s="9">
        <v>1104651</v>
      </c>
      <c r="G24" s="10">
        <v>1070487</v>
      </c>
      <c r="H24" s="11">
        <v>1211536</v>
      </c>
      <c r="I24" s="11">
        <v>1126723</v>
      </c>
      <c r="J24" s="12">
        <v>1054882</v>
      </c>
      <c r="K24" s="9">
        <v>1081249</v>
      </c>
      <c r="L24" s="9">
        <v>775226</v>
      </c>
    </row>
    <row r="25" spans="1:12" ht="11.25">
      <c r="A25" s="2" t="s">
        <v>22</v>
      </c>
      <c r="B25" s="2"/>
      <c r="C25" s="13">
        <v>509875</v>
      </c>
      <c r="D25" s="13">
        <v>588829</v>
      </c>
      <c r="E25" s="13">
        <v>601984</v>
      </c>
      <c r="F25" s="13">
        <v>603999</v>
      </c>
      <c r="G25" s="14">
        <v>608867</v>
      </c>
      <c r="H25" s="13">
        <v>601842</v>
      </c>
      <c r="I25" s="13">
        <v>589612</v>
      </c>
      <c r="J25" s="15">
        <v>596373</v>
      </c>
      <c r="K25" s="13">
        <v>604424</v>
      </c>
      <c r="L25" s="13">
        <v>545127</v>
      </c>
    </row>
    <row r="26" spans="1:12" ht="11.25">
      <c r="A26" s="4" t="s">
        <v>23</v>
      </c>
      <c r="D26" s="9"/>
      <c r="F26" s="9"/>
      <c r="G26" s="10"/>
      <c r="H26" s="11"/>
      <c r="I26" s="11"/>
      <c r="J26" s="12"/>
      <c r="K26" s="9"/>
      <c r="L26" s="9"/>
    </row>
    <row r="27" spans="1:12" ht="11.25">
      <c r="A27" s="1" t="s">
        <v>12</v>
      </c>
      <c r="C27" s="9">
        <f>(C11+G11)/2</f>
        <v>5544462.5</v>
      </c>
      <c r="D27" s="9">
        <f>(D11+H11)/2</f>
        <v>5591521</v>
      </c>
      <c r="E27" s="9">
        <f>(E11+I11)/2</f>
        <v>5071447</v>
      </c>
      <c r="F27" s="9">
        <f>(F11+J11)/2</f>
        <v>5144836</v>
      </c>
      <c r="G27" s="10">
        <f>(G11+K11)/2</f>
        <v>5155843.5</v>
      </c>
      <c r="H27" s="11">
        <f>(H11+4783790)/2</f>
        <v>5009173.5</v>
      </c>
      <c r="I27" s="11">
        <f>(I11+5112685)/2</f>
        <v>4888885</v>
      </c>
      <c r="J27" s="12">
        <f>(J11+4977404)/2</f>
        <v>4769257</v>
      </c>
      <c r="K27" s="9">
        <f>(K11+L11)/2</f>
        <v>4968328.5</v>
      </c>
      <c r="L27" s="9">
        <f>(L11+4873537)/2</f>
        <v>4926653</v>
      </c>
    </row>
    <row r="28" spans="1:12" ht="11.25">
      <c r="A28" s="1" t="s">
        <v>24</v>
      </c>
      <c r="C28" s="9">
        <f aca="true" t="shared" si="4" ref="C28:L28">C29+C30</f>
        <v>4961840.5</v>
      </c>
      <c r="D28" s="9">
        <f t="shared" si="4"/>
        <v>5025097</v>
      </c>
      <c r="E28" s="9">
        <f t="shared" si="4"/>
        <v>4679524.5</v>
      </c>
      <c r="F28" s="9">
        <f t="shared" si="4"/>
        <v>4703900</v>
      </c>
      <c r="G28" s="10">
        <f t="shared" si="4"/>
        <v>4675675</v>
      </c>
      <c r="H28" s="11">
        <f t="shared" si="4"/>
        <v>4604913</v>
      </c>
      <c r="I28" s="11">
        <f t="shared" si="4"/>
        <v>4524091</v>
      </c>
      <c r="J28" s="12">
        <f t="shared" si="4"/>
        <v>4354111</v>
      </c>
      <c r="K28" s="9">
        <f t="shared" si="4"/>
        <v>4518063.5</v>
      </c>
      <c r="L28" s="9">
        <f t="shared" si="4"/>
        <v>4534877</v>
      </c>
    </row>
    <row r="29" spans="2:12" ht="11.25">
      <c r="B29" s="1" t="s">
        <v>14</v>
      </c>
      <c r="C29" s="9">
        <f>(C13+G13)/2</f>
        <v>4551635</v>
      </c>
      <c r="D29" s="9">
        <f>(D13+H13)/2</f>
        <v>4668913</v>
      </c>
      <c r="E29" s="9">
        <f>(E13+I13)/2</f>
        <v>4322353</v>
      </c>
      <c r="F29" s="9">
        <f>(F13+J13)/2</f>
        <v>4354953.5</v>
      </c>
      <c r="G29" s="10">
        <f>(G13+K13)/2</f>
        <v>4358815</v>
      </c>
      <c r="H29" s="11">
        <f>(H13+4170214)/2</f>
        <v>4354269.5</v>
      </c>
      <c r="I29" s="11">
        <f>(I13+4570402)/2</f>
        <v>4320220.5</v>
      </c>
      <c r="J29" s="12">
        <f>(J13+4431975)/2</f>
        <v>4153438</v>
      </c>
      <c r="K29" s="9">
        <f>(K13+L13)/2</f>
        <v>4317584.5</v>
      </c>
      <c r="L29" s="9">
        <f>(L13+4239130)/2</f>
        <v>4324193</v>
      </c>
    </row>
    <row r="30" spans="2:12" ht="11.25">
      <c r="B30" s="1" t="s">
        <v>17</v>
      </c>
      <c r="C30" s="9">
        <f>(C16+G16)/2</f>
        <v>410205.5</v>
      </c>
      <c r="D30" s="9">
        <f>(D16+H16)/2</f>
        <v>356184</v>
      </c>
      <c r="E30" s="9">
        <f>(E16+I16)/2</f>
        <v>357171.5</v>
      </c>
      <c r="F30" s="9">
        <f>(F16+J16)/2</f>
        <v>348946.5</v>
      </c>
      <c r="G30" s="10">
        <f>(G16+K16)/2</f>
        <v>316860</v>
      </c>
      <c r="H30" s="11">
        <f>(H16+201463)/2</f>
        <v>250643.5</v>
      </c>
      <c r="I30" s="11">
        <f>(I16+154620)/2</f>
        <v>203870.5</v>
      </c>
      <c r="J30" s="12">
        <f>(J16+175598)/2</f>
        <v>200673</v>
      </c>
      <c r="K30" s="9">
        <f>(K16+L16)/2</f>
        <v>200479</v>
      </c>
      <c r="L30" s="9">
        <f>(L16+228816)/2</f>
        <v>210684</v>
      </c>
    </row>
    <row r="31" spans="1:12" ht="11.25">
      <c r="A31" s="2" t="s">
        <v>22</v>
      </c>
      <c r="B31" s="2"/>
      <c r="C31" s="13">
        <f>(C25+G25)/2</f>
        <v>559371</v>
      </c>
      <c r="D31" s="13">
        <f>(D25+H25)/2</f>
        <v>595335.5</v>
      </c>
      <c r="E31" s="13">
        <f>(E25+I25)/2</f>
        <v>595798</v>
      </c>
      <c r="F31" s="13">
        <f>(F25+J25)/2</f>
        <v>600186</v>
      </c>
      <c r="G31" s="14">
        <f>(G25+K25)/2</f>
        <v>606645.5</v>
      </c>
      <c r="H31" s="13">
        <f>(H25+586204)/2</f>
        <v>594023</v>
      </c>
      <c r="I31" s="13">
        <f>(I25+562696)/2</f>
        <v>576154</v>
      </c>
      <c r="J31" s="15">
        <f>(J25+542664)/2</f>
        <v>569518.5</v>
      </c>
      <c r="K31" s="13">
        <f>(K25+L25)/2</f>
        <v>574775.5</v>
      </c>
      <c r="L31" s="13">
        <f>(L25+511468)/2</f>
        <v>528297.5</v>
      </c>
    </row>
    <row r="32" spans="1:10" ht="11.25">
      <c r="A32" s="4" t="s">
        <v>25</v>
      </c>
      <c r="D32" s="9"/>
      <c r="F32" s="9"/>
      <c r="G32" s="16"/>
      <c r="H32" s="17"/>
      <c r="I32" s="17"/>
      <c r="J32" s="18"/>
    </row>
    <row r="33" spans="1:12" ht="11.25">
      <c r="A33" s="1" t="s">
        <v>26</v>
      </c>
      <c r="C33" s="19">
        <v>350188</v>
      </c>
      <c r="D33" s="9">
        <f>E33+82538</f>
        <v>279627</v>
      </c>
      <c r="E33" s="9">
        <f>F33+93668</f>
        <v>197089</v>
      </c>
      <c r="F33" s="9">
        <v>103421</v>
      </c>
      <c r="G33" s="10">
        <f>99415+H33</f>
        <v>370119</v>
      </c>
      <c r="H33" s="11">
        <f>96794+I33</f>
        <v>270704</v>
      </c>
      <c r="I33" s="11">
        <f>86762+J33</f>
        <v>173910</v>
      </c>
      <c r="J33" s="12">
        <v>87148</v>
      </c>
      <c r="K33" s="9">
        <v>336769</v>
      </c>
      <c r="L33" s="9">
        <v>372969</v>
      </c>
    </row>
    <row r="34" spans="1:12" ht="11.25">
      <c r="A34" s="1" t="s">
        <v>27</v>
      </c>
      <c r="C34" s="19">
        <v>247758</v>
      </c>
      <c r="D34" s="9">
        <f>E34+57969</f>
        <v>201064</v>
      </c>
      <c r="E34" s="9">
        <f>F34+66325</f>
        <v>143095</v>
      </c>
      <c r="F34" s="9">
        <v>76770</v>
      </c>
      <c r="G34" s="10">
        <f>74792+H34</f>
        <v>272042</v>
      </c>
      <c r="H34" s="11">
        <f>71293+I34</f>
        <v>197250</v>
      </c>
      <c r="I34" s="11">
        <f>63352+J34</f>
        <v>125957</v>
      </c>
      <c r="J34" s="12">
        <v>62605</v>
      </c>
      <c r="K34" s="9">
        <v>239448</v>
      </c>
      <c r="L34" s="9">
        <v>282342</v>
      </c>
    </row>
    <row r="35" spans="1:12" ht="11.25">
      <c r="A35" s="1" t="s">
        <v>28</v>
      </c>
      <c r="C35" s="9">
        <f aca="true" t="shared" si="5" ref="C35:L35">C33-C34</f>
        <v>102430</v>
      </c>
      <c r="D35" s="9">
        <f t="shared" si="5"/>
        <v>78563</v>
      </c>
      <c r="E35" s="9">
        <f t="shared" si="5"/>
        <v>53994</v>
      </c>
      <c r="F35" s="9">
        <f t="shared" si="5"/>
        <v>26651</v>
      </c>
      <c r="G35" s="10">
        <f t="shared" si="5"/>
        <v>98077</v>
      </c>
      <c r="H35" s="11">
        <f t="shared" si="5"/>
        <v>73454</v>
      </c>
      <c r="I35" s="11">
        <f t="shared" si="5"/>
        <v>47953</v>
      </c>
      <c r="J35" s="12">
        <f t="shared" si="5"/>
        <v>24543</v>
      </c>
      <c r="K35" s="9">
        <f t="shared" si="5"/>
        <v>97321</v>
      </c>
      <c r="L35" s="9">
        <f t="shared" si="5"/>
        <v>90627</v>
      </c>
    </row>
    <row r="36" spans="1:12" ht="11.25">
      <c r="A36" s="1" t="s">
        <v>29</v>
      </c>
      <c r="C36" s="19">
        <v>28838</v>
      </c>
      <c r="D36" s="9">
        <f>E36+1571</f>
        <v>19364</v>
      </c>
      <c r="E36" s="9">
        <f>F36+13314</f>
        <v>17793</v>
      </c>
      <c r="F36" s="9">
        <v>4479</v>
      </c>
      <c r="G36" s="10">
        <f>5630+H36</f>
        <v>25976</v>
      </c>
      <c r="H36" s="11">
        <f>6325+I36</f>
        <v>20346</v>
      </c>
      <c r="I36" s="11">
        <f>6491+J36</f>
        <v>14021</v>
      </c>
      <c r="J36" s="12">
        <v>7530</v>
      </c>
      <c r="K36" s="9">
        <v>26677</v>
      </c>
      <c r="L36" s="9">
        <v>21957</v>
      </c>
    </row>
    <row r="37" spans="1:12" ht="11.25">
      <c r="A37" s="1" t="s">
        <v>30</v>
      </c>
      <c r="C37" s="9">
        <f aca="true" t="shared" si="6" ref="C37:L37">C35+C36</f>
        <v>131268</v>
      </c>
      <c r="D37" s="9">
        <f t="shared" si="6"/>
        <v>97927</v>
      </c>
      <c r="E37" s="9">
        <f t="shared" si="6"/>
        <v>71787</v>
      </c>
      <c r="F37" s="9">
        <f t="shared" si="6"/>
        <v>31130</v>
      </c>
      <c r="G37" s="10">
        <f t="shared" si="6"/>
        <v>124053</v>
      </c>
      <c r="H37" s="11">
        <f t="shared" si="6"/>
        <v>93800</v>
      </c>
      <c r="I37" s="11">
        <f t="shared" si="6"/>
        <v>61974</v>
      </c>
      <c r="J37" s="12">
        <f t="shared" si="6"/>
        <v>32073</v>
      </c>
      <c r="K37" s="9">
        <f t="shared" si="6"/>
        <v>123998</v>
      </c>
      <c r="L37" s="9">
        <f t="shared" si="6"/>
        <v>112584</v>
      </c>
    </row>
    <row r="38" spans="1:12" ht="11.25">
      <c r="A38" s="1" t="s">
        <v>31</v>
      </c>
      <c r="C38" s="19">
        <v>63958</v>
      </c>
      <c r="D38" s="9">
        <f>E38+6200</f>
        <v>17095</v>
      </c>
      <c r="E38" s="9">
        <f>F38+5320</f>
        <v>10895</v>
      </c>
      <c r="F38" s="9">
        <v>5575</v>
      </c>
      <c r="G38" s="10">
        <f>6117+H38</f>
        <v>21056</v>
      </c>
      <c r="H38" s="11">
        <f>5157+I38</f>
        <v>14939</v>
      </c>
      <c r="I38" s="11">
        <f>4937+J38</f>
        <v>9782</v>
      </c>
      <c r="J38" s="12">
        <v>4845</v>
      </c>
      <c r="K38" s="9">
        <v>16527</v>
      </c>
      <c r="L38" s="9">
        <v>14067</v>
      </c>
    </row>
    <row r="39" spans="1:12" ht="11.25">
      <c r="A39" s="1" t="s">
        <v>32</v>
      </c>
      <c r="C39" s="9">
        <f aca="true" t="shared" si="7" ref="C39:L39">C37-C38</f>
        <v>67310</v>
      </c>
      <c r="D39" s="9">
        <f t="shared" si="7"/>
        <v>80832</v>
      </c>
      <c r="E39" s="9">
        <f t="shared" si="7"/>
        <v>60892</v>
      </c>
      <c r="F39" s="9">
        <f t="shared" si="7"/>
        <v>25555</v>
      </c>
      <c r="G39" s="10">
        <f t="shared" si="7"/>
        <v>102997</v>
      </c>
      <c r="H39" s="11">
        <f t="shared" si="7"/>
        <v>78861</v>
      </c>
      <c r="I39" s="11">
        <f t="shared" si="7"/>
        <v>52192</v>
      </c>
      <c r="J39" s="12">
        <f t="shared" si="7"/>
        <v>27228</v>
      </c>
      <c r="K39" s="9">
        <f t="shared" si="7"/>
        <v>107471</v>
      </c>
      <c r="L39" s="9">
        <f t="shared" si="7"/>
        <v>98517</v>
      </c>
    </row>
    <row r="40" spans="1:12" ht="11.25">
      <c r="A40" s="2" t="s">
        <v>33</v>
      </c>
      <c r="B40" s="2"/>
      <c r="C40" s="20">
        <v>4867</v>
      </c>
      <c r="D40" s="13">
        <f>E40+15939</f>
        <v>69332</v>
      </c>
      <c r="E40" s="13">
        <f>F40+31587</f>
        <v>53393</v>
      </c>
      <c r="F40" s="13">
        <v>21806</v>
      </c>
      <c r="G40" s="14">
        <f>19336+H40</f>
        <v>83797</v>
      </c>
      <c r="H40" s="13">
        <f>21869+I40</f>
        <v>64461</v>
      </c>
      <c r="I40" s="13">
        <f>21764+J40</f>
        <v>42592</v>
      </c>
      <c r="J40" s="15">
        <v>20828</v>
      </c>
      <c r="K40" s="13">
        <v>86771</v>
      </c>
      <c r="L40" s="13">
        <v>71783</v>
      </c>
    </row>
    <row r="41" spans="1:12" ht="11.25">
      <c r="A41" s="4" t="s">
        <v>34</v>
      </c>
      <c r="D41" s="9"/>
      <c r="E41" s="9"/>
      <c r="G41" s="10"/>
      <c r="H41" s="11"/>
      <c r="I41" s="11"/>
      <c r="J41" s="12"/>
      <c r="K41" s="9"/>
      <c r="L41" s="9"/>
    </row>
    <row r="42" spans="1:12" ht="11.25">
      <c r="A42" s="1" t="s">
        <v>35</v>
      </c>
      <c r="C42" s="9">
        <v>126686</v>
      </c>
      <c r="D42" s="9">
        <v>13907</v>
      </c>
      <c r="E42" s="9">
        <v>13920</v>
      </c>
      <c r="F42" s="9">
        <v>19543</v>
      </c>
      <c r="G42" s="10">
        <v>13915</v>
      </c>
      <c r="H42" s="11">
        <v>29727</v>
      </c>
      <c r="I42" s="11">
        <v>30456</v>
      </c>
      <c r="J42" s="12">
        <v>28077</v>
      </c>
      <c r="K42" s="9">
        <v>23786</v>
      </c>
      <c r="L42" s="9">
        <v>6493</v>
      </c>
    </row>
    <row r="43" spans="1:12" ht="11.25">
      <c r="A43" s="1" t="s">
        <v>36</v>
      </c>
      <c r="C43" s="9">
        <v>162784</v>
      </c>
      <c r="D43" s="9">
        <v>122028</v>
      </c>
      <c r="E43" s="9">
        <v>118028</v>
      </c>
      <c r="F43" s="9">
        <v>114248</v>
      </c>
      <c r="G43" s="10">
        <v>110388</v>
      </c>
      <c r="H43" s="11">
        <v>121005</v>
      </c>
      <c r="I43" s="11">
        <v>117670</v>
      </c>
      <c r="J43" s="12">
        <v>117670</v>
      </c>
      <c r="K43" s="9">
        <v>114617</v>
      </c>
      <c r="L43" s="9">
        <v>104553</v>
      </c>
    </row>
    <row r="44" spans="1:12" ht="11.25">
      <c r="A44" s="1" t="s">
        <v>37</v>
      </c>
      <c r="C44" s="21">
        <f aca="true" t="shared" si="8" ref="C44:L44">C42/C13</f>
        <v>0.027471439664685626</v>
      </c>
      <c r="D44" s="21">
        <f t="shared" si="8"/>
        <v>0.002897592895594771</v>
      </c>
      <c r="E44" s="21">
        <f t="shared" si="8"/>
        <v>0.003042844429988019</v>
      </c>
      <c r="F44" s="21">
        <f t="shared" si="8"/>
        <v>0.00404198050633236</v>
      </c>
      <c r="G44" s="22">
        <f t="shared" si="8"/>
        <v>0.0030979244685272913</v>
      </c>
      <c r="H44" s="23">
        <f t="shared" si="8"/>
        <v>0.0065502140106757445</v>
      </c>
      <c r="I44" s="23">
        <f t="shared" si="8"/>
        <v>0.007482974978863839</v>
      </c>
      <c r="J44" s="24">
        <f t="shared" si="8"/>
        <v>0.007245862539455847</v>
      </c>
      <c r="K44" s="21">
        <f t="shared" si="8"/>
        <v>0.005628606173387857</v>
      </c>
      <c r="L44" s="21">
        <f t="shared" si="8"/>
        <v>0.001472584036853383</v>
      </c>
    </row>
    <row r="45" spans="1:12" ht="11.25">
      <c r="A45" s="1" t="s">
        <v>38</v>
      </c>
      <c r="C45" s="21">
        <f aca="true" t="shared" si="9" ref="C45:L45">C43/C42</f>
        <v>1.2849407195743807</v>
      </c>
      <c r="D45" s="21">
        <f t="shared" si="9"/>
        <v>8.774573955561948</v>
      </c>
      <c r="E45" s="21">
        <f t="shared" si="9"/>
        <v>8.479022988505747</v>
      </c>
      <c r="F45" s="21">
        <f t="shared" si="9"/>
        <v>5.845980658036125</v>
      </c>
      <c r="G45" s="22">
        <f t="shared" si="9"/>
        <v>7.93302191879267</v>
      </c>
      <c r="H45" s="23">
        <f t="shared" si="9"/>
        <v>4.070541931577354</v>
      </c>
      <c r="I45" s="23">
        <f t="shared" si="9"/>
        <v>3.8636065143157343</v>
      </c>
      <c r="J45" s="24">
        <f t="shared" si="9"/>
        <v>4.190974819247071</v>
      </c>
      <c r="K45" s="21">
        <f t="shared" si="9"/>
        <v>4.818674850752544</v>
      </c>
      <c r="L45" s="21">
        <f t="shared" si="9"/>
        <v>16.10241798860311</v>
      </c>
    </row>
    <row r="46" spans="1:12" ht="11.25">
      <c r="A46" s="2" t="s">
        <v>39</v>
      </c>
      <c r="B46" s="2"/>
      <c r="C46" s="25">
        <f aca="true" t="shared" si="10" ref="C46:L46">C43/C13</f>
        <v>0.035299171450485334</v>
      </c>
      <c r="D46" s="25">
        <f t="shared" si="10"/>
        <v>0.02542514315550721</v>
      </c>
      <c r="E46" s="25">
        <f t="shared" si="10"/>
        <v>0.02580034787231508</v>
      </c>
      <c r="F46" s="25">
        <f t="shared" si="10"/>
        <v>0.023629339860178043</v>
      </c>
      <c r="G46" s="26">
        <f t="shared" si="10"/>
        <v>0.024575902711591137</v>
      </c>
      <c r="H46" s="25">
        <f t="shared" si="10"/>
        <v>0.026662920791261095</v>
      </c>
      <c r="I46" s="25">
        <f t="shared" si="10"/>
        <v>0.02891127087479997</v>
      </c>
      <c r="J46" s="27">
        <f t="shared" si="10"/>
        <v>0.03036722744658509</v>
      </c>
      <c r="K46" s="25">
        <f t="shared" si="10"/>
        <v>0.027122423012494578</v>
      </c>
      <c r="L46" s="25">
        <f t="shared" si="10"/>
        <v>0.0237121636847577</v>
      </c>
    </row>
    <row r="47" spans="1:10" ht="11.25">
      <c r="A47" s="4" t="s">
        <v>40</v>
      </c>
      <c r="G47" s="16"/>
      <c r="H47" s="17"/>
      <c r="I47" s="17"/>
      <c r="J47" s="18"/>
    </row>
    <row r="48" spans="1:12" ht="11.25">
      <c r="A48" s="1" t="s">
        <v>41</v>
      </c>
      <c r="C48" s="21">
        <f aca="true" t="shared" si="11" ref="C48:L48">C25/(C13+C16)</f>
        <v>0.101839553393986</v>
      </c>
      <c r="D48" s="21">
        <f t="shared" si="11"/>
        <v>0.11297465773990824</v>
      </c>
      <c r="E48" s="21">
        <f t="shared" si="11"/>
        <v>0.11953877458379246</v>
      </c>
      <c r="F48" s="21">
        <f t="shared" si="11"/>
        <v>0.11380851986310546</v>
      </c>
      <c r="G48" s="22">
        <f t="shared" si="11"/>
        <v>0.1238281800541831</v>
      </c>
      <c r="H48" s="23">
        <f t="shared" si="11"/>
        <v>0.12439509407420068</v>
      </c>
      <c r="I48" s="23">
        <f t="shared" si="11"/>
        <v>0.13638449652568954</v>
      </c>
      <c r="J48" s="24">
        <f t="shared" si="11"/>
        <v>0.14543380816061066</v>
      </c>
      <c r="K48" s="21">
        <f t="shared" si="11"/>
        <v>0.13630593559010978</v>
      </c>
      <c r="L48" s="21">
        <f t="shared" si="11"/>
        <v>0.11845930990601955</v>
      </c>
    </row>
    <row r="49" spans="1:12" ht="11.25">
      <c r="A49" s="2" t="s">
        <v>42</v>
      </c>
      <c r="B49" s="2"/>
      <c r="C49" s="25">
        <f>C25/C13</f>
        <v>0.11056470564254602</v>
      </c>
      <c r="D49" s="25">
        <f aca="true" t="shared" si="12" ref="D49:L49">D25/D11</f>
        <v>0.09898806166612172</v>
      </c>
      <c r="E49" s="25">
        <f t="shared" si="12"/>
        <v>0.10989503284981277</v>
      </c>
      <c r="F49" s="25">
        <f t="shared" si="12"/>
        <v>0.10543640795019762</v>
      </c>
      <c r="G49" s="26">
        <f t="shared" si="12"/>
        <v>0.11370492151059265</v>
      </c>
      <c r="H49" s="25">
        <f t="shared" si="12"/>
        <v>0.11497477245925491</v>
      </c>
      <c r="I49" s="25">
        <f t="shared" si="12"/>
        <v>0.1263882651655865</v>
      </c>
      <c r="J49" s="27">
        <f t="shared" si="12"/>
        <v>0.1307517249090682</v>
      </c>
      <c r="K49" s="25">
        <f t="shared" si="12"/>
        <v>0.1219361825403358</v>
      </c>
      <c r="L49" s="25">
        <f t="shared" si="12"/>
        <v>0.1094683307599208</v>
      </c>
    </row>
    <row r="50" spans="1:12" ht="11.25">
      <c r="A50" s="4" t="s">
        <v>43</v>
      </c>
      <c r="F50" s="28"/>
      <c r="G50" s="29"/>
      <c r="H50" s="30"/>
      <c r="I50" s="30"/>
      <c r="J50" s="31"/>
      <c r="K50" s="28"/>
      <c r="L50" s="28"/>
    </row>
    <row r="51" spans="1:12" ht="11.25">
      <c r="A51" s="1" t="s">
        <v>44</v>
      </c>
      <c r="C51" s="28">
        <f aca="true" t="shared" si="13" ref="C51:L51">C12/C17</f>
        <v>0.42530221733790163</v>
      </c>
      <c r="D51" s="28">
        <f t="shared" si="13"/>
        <v>0.3907775698591147</v>
      </c>
      <c r="E51" s="28">
        <f t="shared" si="13"/>
        <v>0.19308606837685427</v>
      </c>
      <c r="F51" s="28">
        <f t="shared" si="13"/>
        <v>0.16082560970083282</v>
      </c>
      <c r="G51" s="29">
        <f t="shared" si="13"/>
        <v>0.20676764744579054</v>
      </c>
      <c r="H51" s="30">
        <f t="shared" si="13"/>
        <v>0.15306101425593202</v>
      </c>
      <c r="I51" s="30">
        <f t="shared" si="13"/>
        <v>0.15420584058612055</v>
      </c>
      <c r="J51" s="31">
        <f t="shared" si="13"/>
        <v>0.229920723071408</v>
      </c>
      <c r="K51" s="28">
        <f t="shared" si="13"/>
        <v>0.28005833737024605</v>
      </c>
      <c r="L51" s="28">
        <f t="shared" si="13"/>
        <v>0.2730040256627656</v>
      </c>
    </row>
    <row r="52" spans="1:12" ht="11.25">
      <c r="A52" s="1" t="s">
        <v>45</v>
      </c>
      <c r="C52" s="28">
        <f aca="true" t="shared" si="14" ref="C52:L52">C12/C11</f>
        <v>0.09752401673768592</v>
      </c>
      <c r="D52" s="28">
        <f t="shared" si="14"/>
        <v>0.09850877996666378</v>
      </c>
      <c r="E52" s="28">
        <f t="shared" si="14"/>
        <v>0.04983616624822078</v>
      </c>
      <c r="F52" s="28">
        <f t="shared" si="14"/>
        <v>0.04150710073487902</v>
      </c>
      <c r="G52" s="29">
        <f t="shared" si="14"/>
        <v>0.0554687486869255</v>
      </c>
      <c r="H52" s="30">
        <f t="shared" si="14"/>
        <v>0.04541568656144159</v>
      </c>
      <c r="I52" s="30">
        <f t="shared" si="14"/>
        <v>0.04969684368023305</v>
      </c>
      <c r="J52" s="31">
        <f t="shared" si="14"/>
        <v>0.06862189247792752</v>
      </c>
      <c r="K52" s="28">
        <f t="shared" si="14"/>
        <v>0.0768589082504991</v>
      </c>
      <c r="L52" s="28">
        <f t="shared" si="14"/>
        <v>0.05748278685216122</v>
      </c>
    </row>
    <row r="53" spans="1:12" ht="11.25">
      <c r="A53" s="2" t="s">
        <v>46</v>
      </c>
      <c r="B53" s="2"/>
      <c r="C53" s="32">
        <f aca="true" t="shared" si="15" ref="C53:L53">(C12+C16)/C17</f>
        <v>0.7257870579869417</v>
      </c>
      <c r="D53" s="32">
        <f t="shared" si="15"/>
        <v>0.6658953076922051</v>
      </c>
      <c r="E53" s="32">
        <f t="shared" si="15"/>
        <v>0.5193052118307504</v>
      </c>
      <c r="F53" s="32">
        <f t="shared" si="15"/>
        <v>0.48017242137316185</v>
      </c>
      <c r="G53" s="33">
        <f t="shared" si="15"/>
        <v>0.5028419552652225</v>
      </c>
      <c r="H53" s="32">
        <f t="shared" si="15"/>
        <v>0.34610006064984183</v>
      </c>
      <c r="I53" s="32">
        <f t="shared" si="15"/>
        <v>0.32256650559215666</v>
      </c>
      <c r="J53" s="34">
        <f t="shared" si="15"/>
        <v>0.39575289575289574</v>
      </c>
      <c r="K53" s="32">
        <f t="shared" si="15"/>
        <v>0.4332571526864521</v>
      </c>
      <c r="L53" s="32">
        <f t="shared" si="15"/>
        <v>0.4566452047308452</v>
      </c>
    </row>
    <row r="54" spans="1:10" ht="11.25">
      <c r="A54" s="4" t="s">
        <v>47</v>
      </c>
      <c r="G54" s="16"/>
      <c r="H54" s="17"/>
      <c r="I54" s="17"/>
      <c r="J54" s="18"/>
    </row>
    <row r="55" spans="1:12" ht="11.25">
      <c r="A55" s="1" t="s">
        <v>48</v>
      </c>
      <c r="B55" s="17"/>
      <c r="C55" s="35">
        <f>C40/C28</f>
        <v>0.0009808860240469238</v>
      </c>
      <c r="D55" s="35">
        <f>(D40/0.75)/D28</f>
        <v>0.018396195469792258</v>
      </c>
      <c r="E55" s="21">
        <f>(E40/0.5)/E28</f>
        <v>0.02281983992176983</v>
      </c>
      <c r="F55" s="21">
        <f>((F40)/0.25)/F28</f>
        <v>0.018542911201343566</v>
      </c>
      <c r="G55" s="36">
        <f>G40/G28</f>
        <v>0.017921904323974613</v>
      </c>
      <c r="H55" s="35">
        <f>(H40/0.75)/H28</f>
        <v>0.01866441342105703</v>
      </c>
      <c r="I55" s="35">
        <f>(I40/0.5)/I28</f>
        <v>0.018828975809726197</v>
      </c>
      <c r="J55" s="24">
        <f>((J40)/0.25)/J28</f>
        <v>0.01913410108286169</v>
      </c>
      <c r="K55" s="21">
        <f>K40/K28</f>
        <v>0.019205352027478143</v>
      </c>
      <c r="L55" s="21">
        <f>L40/L28</f>
        <v>0.015829095254402712</v>
      </c>
    </row>
    <row r="56" spans="1:12" ht="11.25">
      <c r="A56" s="1" t="s">
        <v>49</v>
      </c>
      <c r="B56" s="17"/>
      <c r="C56" s="35">
        <f>C40/C27</f>
        <v>0.0008778127726537965</v>
      </c>
      <c r="D56" s="35">
        <f>(D40/0.75)/D27</f>
        <v>0.01653265125297154</v>
      </c>
      <c r="E56" s="21">
        <f>(E40/0.5)/E27</f>
        <v>0.02105631785169006</v>
      </c>
      <c r="F56" s="21">
        <f>((F40)/0.25)/F27</f>
        <v>0.016953698815666815</v>
      </c>
      <c r="G56" s="36">
        <f>G40/G27</f>
        <v>0.016252820707222785</v>
      </c>
      <c r="H56" s="35">
        <f>(H40/0.75)/H27</f>
        <v>0.017158119997241063</v>
      </c>
      <c r="I56" s="35">
        <f>(I40/0.5)/I27</f>
        <v>0.017424013860011026</v>
      </c>
      <c r="J56" s="24">
        <f>((J40)/0.25)/J27</f>
        <v>0.017468549084270358</v>
      </c>
      <c r="K56" s="21">
        <f>K40/K27</f>
        <v>0.017464827456558075</v>
      </c>
      <c r="L56" s="21">
        <f>L40/L27</f>
        <v>0.014570338117988014</v>
      </c>
    </row>
    <row r="57" spans="1:12" ht="11.25">
      <c r="A57" s="1" t="s">
        <v>50</v>
      </c>
      <c r="B57" s="17"/>
      <c r="C57" s="35">
        <f>+C40/C31</f>
        <v>0.008700844341233279</v>
      </c>
      <c r="D57" s="35">
        <f>(D40/0.75)/D31</f>
        <v>0.15527827026385402</v>
      </c>
      <c r="E57" s="21">
        <f>(E40/0.5)/E31</f>
        <v>0.17923188731751366</v>
      </c>
      <c r="F57" s="21">
        <f>((F40)/0.25)/F31</f>
        <v>0.14532828156604785</v>
      </c>
      <c r="G57" s="36">
        <f>+G40/G31</f>
        <v>0.13813174250859853</v>
      </c>
      <c r="H57" s="35">
        <f>(H40/0.75)/H31</f>
        <v>0.1446880002962848</v>
      </c>
      <c r="I57" s="35">
        <f>(I40/0.5)/I31</f>
        <v>0.14784935971979712</v>
      </c>
      <c r="J57" s="24">
        <f>((J40)/0.25)/J31</f>
        <v>0.14628497581729127</v>
      </c>
      <c r="K57" s="21">
        <f>K40/K31</f>
        <v>0.15096502895478323</v>
      </c>
      <c r="L57" s="21">
        <f>L40/L31</f>
        <v>0.13587609254255414</v>
      </c>
    </row>
    <row r="58" spans="1:12" ht="11.25">
      <c r="A58" s="1" t="s">
        <v>51</v>
      </c>
      <c r="B58" s="17"/>
      <c r="C58" s="35">
        <f>C33/C28</f>
        <v>0.0705762307353491</v>
      </c>
      <c r="D58" s="35">
        <f>(D33/0.75)/D28</f>
        <v>0.07419478668769976</v>
      </c>
      <c r="E58" s="21">
        <f>(E33/0.5)/E28</f>
        <v>0.08423462683014055</v>
      </c>
      <c r="F58" s="21">
        <f>((F33)/0.25)/F28</f>
        <v>0.08794489678777184</v>
      </c>
      <c r="G58" s="36">
        <f>G33/G28</f>
        <v>0.07915841028300727</v>
      </c>
      <c r="H58" s="35">
        <f>(H33/0.75)/H28</f>
        <v>0.07838121299287668</v>
      </c>
      <c r="I58" s="35">
        <f>(I33/0.5)/I28</f>
        <v>0.07688174265283347</v>
      </c>
      <c r="J58" s="24">
        <f>((J33)/0.25)/J28</f>
        <v>0.08006043024626612</v>
      </c>
      <c r="K58" s="21">
        <f>K33/K28</f>
        <v>0.07453835033527086</v>
      </c>
      <c r="L58" s="21">
        <f>L33/L27</f>
        <v>0.07570433720418304</v>
      </c>
    </row>
    <row r="59" spans="1:12" ht="11.25">
      <c r="A59" s="1" t="s">
        <v>52</v>
      </c>
      <c r="B59" s="17"/>
      <c r="C59" s="35">
        <f>C34/C28</f>
        <v>0.04993268122987831</v>
      </c>
      <c r="D59" s="35">
        <f>(D34/0.75)/D28</f>
        <v>0.05334928526421148</v>
      </c>
      <c r="E59" s="21">
        <f>(E34/0.5)/E28</f>
        <v>0.06115792320352207</v>
      </c>
      <c r="F59" s="21">
        <f>((F34)/0.25)/F28</f>
        <v>0.06528200004251791</v>
      </c>
      <c r="G59" s="36">
        <f>G34/G28</f>
        <v>0.0581824014714453</v>
      </c>
      <c r="H59" s="35">
        <f>(H34/0.75)/H28</f>
        <v>0.057112913968190064</v>
      </c>
      <c r="I59" s="35">
        <f>(I34/0.5)/I28</f>
        <v>0.05568278798989675</v>
      </c>
      <c r="J59" s="24">
        <f>((J34)/0.25)/J28</f>
        <v>0.057513462564459196</v>
      </c>
      <c r="K59" s="21">
        <f>K34/K28</f>
        <v>0.052997927098634184</v>
      </c>
      <c r="L59" s="21">
        <f>L34/L27</f>
        <v>0.057309089964322636</v>
      </c>
    </row>
    <row r="60" spans="1:12" ht="11.25">
      <c r="A60" s="1" t="s">
        <v>53</v>
      </c>
      <c r="B60" s="17"/>
      <c r="C60" s="35">
        <f>C35/C28</f>
        <v>0.0206435495054708</v>
      </c>
      <c r="D60" s="35">
        <f>(D35/0.75)/D28</f>
        <v>0.020845501423488278</v>
      </c>
      <c r="E60" s="21">
        <f>(E35/0.5)/E28</f>
        <v>0.023076703626618473</v>
      </c>
      <c r="F60" s="21">
        <f>((F35)/0.25)/F28</f>
        <v>0.022662896745253937</v>
      </c>
      <c r="G60" s="36">
        <f>G35/G28</f>
        <v>0.020976008811561968</v>
      </c>
      <c r="H60" s="35">
        <f>(H35/0.75)/H28</f>
        <v>0.021268299024686604</v>
      </c>
      <c r="I60" s="35">
        <f>(I35/0.5)/I28</f>
        <v>0.021198954662936708</v>
      </c>
      <c r="J60" s="24">
        <f>((J35)/0.25)/J28</f>
        <v>0.022546967681806918</v>
      </c>
      <c r="K60" s="21">
        <f>K35/K28</f>
        <v>0.021540423236636668</v>
      </c>
      <c r="L60" s="21">
        <f>L35/L27</f>
        <v>0.01839524723986041</v>
      </c>
    </row>
    <row r="61" spans="1:12" ht="11.25">
      <c r="A61" s="1" t="s">
        <v>54</v>
      </c>
      <c r="B61" s="17"/>
      <c r="C61" s="35">
        <f>C38/C37</f>
        <v>0.4872322271993174</v>
      </c>
      <c r="D61" s="35">
        <f>(D38/0.75)/(D37/0.75)</f>
        <v>0.17456881146159894</v>
      </c>
      <c r="E61" s="21">
        <f>(E38/0.5)/(E37/0.5)</f>
        <v>0.1517684260381406</v>
      </c>
      <c r="F61" s="21">
        <f>(F38/0.25)/(F37/0.25)</f>
        <v>0.1790876967555413</v>
      </c>
      <c r="G61" s="36">
        <f>G38/G37</f>
        <v>0.16973390405713687</v>
      </c>
      <c r="H61" s="35">
        <f>(H38/0.75)/(H37/0.75)</f>
        <v>0.1592643923240938</v>
      </c>
      <c r="I61" s="35">
        <f>(I38/0.5)/(I37/0.5)</f>
        <v>0.15784038467744538</v>
      </c>
      <c r="J61" s="24">
        <f>(J38/0.25)/(J37/0.25)</f>
        <v>0.15106164063230754</v>
      </c>
      <c r="K61" s="21">
        <f>K38/K37</f>
        <v>0.13328440781302925</v>
      </c>
      <c r="L61" s="21">
        <f>L38/L37</f>
        <v>0.12494670645917715</v>
      </c>
    </row>
    <row r="62" spans="1:12" ht="11.25">
      <c r="A62" s="2" t="s">
        <v>55</v>
      </c>
      <c r="B62" s="2"/>
      <c r="C62" s="37">
        <f>C36/C28</f>
        <v>0.005811956269049761</v>
      </c>
      <c r="D62" s="37">
        <f>(D36/0.75)/D28</f>
        <v>0.005137943937533279</v>
      </c>
      <c r="E62" s="25">
        <f>(E36/0.5)/E28</f>
        <v>0.007604618802615522</v>
      </c>
      <c r="F62" s="25">
        <f>(F36/0.25)/F28</f>
        <v>0.0038087544378069263</v>
      </c>
      <c r="G62" s="38">
        <f>G36/G28</f>
        <v>0.005555561496468424</v>
      </c>
      <c r="H62" s="37">
        <f>(H36/0.75)/H28</f>
        <v>0.00589109935410289</v>
      </c>
      <c r="I62" s="37">
        <f>(I36/0.5)/I28</f>
        <v>0.006198372225492369</v>
      </c>
      <c r="J62" s="27">
        <f>(J36/0.25)/J28</f>
        <v>0.006917600401092209</v>
      </c>
      <c r="K62" s="25">
        <f>K36/K28</f>
        <v>0.005904520819594501</v>
      </c>
      <c r="L62" s="25">
        <f>L36/L27</f>
        <v>0.004456778263052015</v>
      </c>
    </row>
    <row r="63" spans="1:10" ht="11.25">
      <c r="A63" s="4" t="s">
        <v>56</v>
      </c>
      <c r="G63" s="16"/>
      <c r="H63" s="17"/>
      <c r="I63" s="17"/>
      <c r="J63" s="18"/>
    </row>
    <row r="64" spans="1:12" ht="11.25">
      <c r="A64" s="1" t="s">
        <v>57</v>
      </c>
      <c r="C64" s="1">
        <v>195</v>
      </c>
      <c r="D64" s="9">
        <v>205</v>
      </c>
      <c r="E64" s="9">
        <v>193</v>
      </c>
      <c r="F64" s="9">
        <v>190</v>
      </c>
      <c r="G64" s="10">
        <v>190</v>
      </c>
      <c r="H64" s="11">
        <v>198</v>
      </c>
      <c r="I64" s="11">
        <v>186</v>
      </c>
      <c r="J64" s="12">
        <v>187</v>
      </c>
      <c r="K64" s="9">
        <v>180</v>
      </c>
      <c r="L64" s="9">
        <v>160</v>
      </c>
    </row>
    <row r="65" spans="1:12" ht="11.25">
      <c r="A65" s="1" t="s">
        <v>58</v>
      </c>
      <c r="C65" s="1">
        <v>1</v>
      </c>
      <c r="D65" s="9">
        <v>1</v>
      </c>
      <c r="E65" s="9">
        <v>1</v>
      </c>
      <c r="F65" s="9">
        <v>1</v>
      </c>
      <c r="G65" s="10">
        <v>1</v>
      </c>
      <c r="H65" s="11">
        <v>1</v>
      </c>
      <c r="I65" s="11">
        <v>1</v>
      </c>
      <c r="J65" s="12">
        <v>1</v>
      </c>
      <c r="K65" s="9">
        <v>1</v>
      </c>
      <c r="L65" s="9">
        <v>1</v>
      </c>
    </row>
    <row r="66" spans="1:12" ht="11.25">
      <c r="A66" s="1" t="s">
        <v>59</v>
      </c>
      <c r="C66" s="9">
        <f aca="true" t="shared" si="16" ref="C66:L66">C13/C64</f>
        <v>23648.989743589744</v>
      </c>
      <c r="D66" s="9">
        <f t="shared" si="16"/>
        <v>23412.2</v>
      </c>
      <c r="E66" s="9">
        <f t="shared" si="16"/>
        <v>23702.937823834196</v>
      </c>
      <c r="F66" s="9">
        <f t="shared" si="16"/>
        <v>25447.4</v>
      </c>
      <c r="G66" s="10">
        <f t="shared" si="16"/>
        <v>23640.615789473683</v>
      </c>
      <c r="H66" s="11">
        <f t="shared" si="16"/>
        <v>22920.833333333332</v>
      </c>
      <c r="I66" s="11">
        <f t="shared" si="16"/>
        <v>21881.93010752688</v>
      </c>
      <c r="J66" s="12">
        <f t="shared" si="16"/>
        <v>20721.395721925135</v>
      </c>
      <c r="K66" s="9">
        <f t="shared" si="16"/>
        <v>23477.294444444444</v>
      </c>
      <c r="L66" s="9">
        <f t="shared" si="16"/>
        <v>27557.85</v>
      </c>
    </row>
    <row r="67" spans="1:12" ht="11.25">
      <c r="A67" s="1" t="s">
        <v>60</v>
      </c>
      <c r="C67" s="9">
        <f aca="true" t="shared" si="17" ref="C67:L67">C17/C64</f>
        <v>6742.897435897436</v>
      </c>
      <c r="D67" s="9">
        <f t="shared" si="17"/>
        <v>7314.721951219512</v>
      </c>
      <c r="E67" s="9">
        <f t="shared" si="17"/>
        <v>7325.60103626943</v>
      </c>
      <c r="F67" s="9">
        <f t="shared" si="17"/>
        <v>7781.426315789474</v>
      </c>
      <c r="G67" s="10">
        <f t="shared" si="17"/>
        <v>7560.5842105263155</v>
      </c>
      <c r="H67" s="11">
        <f t="shared" si="17"/>
        <v>7844.333333333333</v>
      </c>
      <c r="I67" s="11">
        <f t="shared" si="17"/>
        <v>8083.037634408603</v>
      </c>
      <c r="J67" s="12">
        <f t="shared" si="17"/>
        <v>7279.700534759359</v>
      </c>
      <c r="K67" s="9">
        <f t="shared" si="17"/>
        <v>7557.572222222222</v>
      </c>
      <c r="L67" s="9">
        <f t="shared" si="17"/>
        <v>6553.26875</v>
      </c>
    </row>
    <row r="68" spans="1:12" ht="11.25">
      <c r="A68" s="2" t="s">
        <v>61</v>
      </c>
      <c r="B68" s="2"/>
      <c r="C68" s="13">
        <f aca="true" t="shared" si="18" ref="C68:L68">(C40/C64)</f>
        <v>24.95897435897436</v>
      </c>
      <c r="D68" s="13">
        <f t="shared" si="18"/>
        <v>338.2048780487805</v>
      </c>
      <c r="E68" s="13">
        <f t="shared" si="18"/>
        <v>276.6476683937824</v>
      </c>
      <c r="F68" s="13">
        <f t="shared" si="18"/>
        <v>114.76842105263158</v>
      </c>
      <c r="G68" s="14">
        <f t="shared" si="18"/>
        <v>441.03684210526313</v>
      </c>
      <c r="H68" s="13">
        <f t="shared" si="18"/>
        <v>325.56060606060606</v>
      </c>
      <c r="I68" s="13">
        <f t="shared" si="18"/>
        <v>228.98924731182797</v>
      </c>
      <c r="J68" s="15">
        <f t="shared" si="18"/>
        <v>111.37967914438502</v>
      </c>
      <c r="K68" s="13">
        <f t="shared" si="18"/>
        <v>482.06111111111113</v>
      </c>
      <c r="L68" s="13">
        <f t="shared" si="18"/>
        <v>448.64375</v>
      </c>
    </row>
    <row r="69" spans="1:10" ht="11.25">
      <c r="A69" s="4" t="s">
        <v>62</v>
      </c>
      <c r="G69" s="16"/>
      <c r="H69" s="17"/>
      <c r="I69" s="17"/>
      <c r="J69" s="18"/>
    </row>
    <row r="70" spans="1:12" ht="11.25">
      <c r="A70" s="1" t="s">
        <v>63</v>
      </c>
      <c r="C70" s="21">
        <f>(C11/G11)-1</f>
        <v>0.07083870001469705</v>
      </c>
      <c r="D70" s="21">
        <f>(D11/H11)-1</f>
        <v>0.13638747271259066</v>
      </c>
      <c r="E70" s="21">
        <f>(E11/I11)-1</f>
        <v>0.17421418902335106</v>
      </c>
      <c r="F70" s="21">
        <f>(F11/J11)-1</f>
        <v>0.2559578699044751</v>
      </c>
      <c r="G70" s="22">
        <f>(G11/K11)-1</f>
        <v>0.08027435762115265</v>
      </c>
      <c r="H70" s="23">
        <f>(H11/4783790)-1</f>
        <v>0.09422800750032923</v>
      </c>
      <c r="I70" s="23">
        <f>(I11/5112684)-1</f>
        <v>-0.08754677582264037</v>
      </c>
      <c r="J70" s="24">
        <f>(J11/4977404)-1</f>
        <v>-0.08363677129684466</v>
      </c>
      <c r="K70" s="21">
        <f>(K11/L11)-1</f>
        <v>-0.0045947914451452965</v>
      </c>
      <c r="L70" s="21">
        <f>(L11/4873537)-1</f>
        <v>0.021797721039154894</v>
      </c>
    </row>
    <row r="71" spans="1:12" ht="11.25">
      <c r="A71" s="1" t="s">
        <v>64</v>
      </c>
      <c r="C71" s="21">
        <f aca="true" t="shared" si="19" ref="C71:E73">(C13/G13)-1</f>
        <v>0.02667932997559741</v>
      </c>
      <c r="D71" s="21">
        <f t="shared" si="19"/>
        <v>0.057548985583888435</v>
      </c>
      <c r="E71" s="21">
        <f t="shared" si="19"/>
        <v>0.12398603551464737</v>
      </c>
      <c r="F71" s="21">
        <f>F13/J13-1</f>
        <v>0.24777536251893917</v>
      </c>
      <c r="G71" s="22">
        <f>(G13/K13)-1</f>
        <v>0.06289859729719938</v>
      </c>
      <c r="H71" s="23">
        <f>H13/4170214-1</f>
        <v>0.08827148918496741</v>
      </c>
      <c r="I71" s="23">
        <f>I13/4570402-1</f>
        <v>-0.10947899112594472</v>
      </c>
      <c r="J71" s="24">
        <f>J13/4431975-1</f>
        <v>-0.12569430107344914</v>
      </c>
      <c r="K71" s="21">
        <f>(K13/L13)-1</f>
        <v>-0.041581391509134424</v>
      </c>
      <c r="L71" s="21">
        <f>L13/4239130-1</f>
        <v>0.04013229129561968</v>
      </c>
    </row>
    <row r="72" spans="2:12" ht="11.25">
      <c r="B72" s="1" t="s">
        <v>15</v>
      </c>
      <c r="C72" s="21">
        <f t="shared" si="19"/>
        <v>0.6673464332273231</v>
      </c>
      <c r="D72" s="21">
        <f t="shared" si="19"/>
        <v>0.35569933630649286</v>
      </c>
      <c r="E72" s="21">
        <f t="shared" si="19"/>
        <v>0.14270199929019278</v>
      </c>
      <c r="F72" s="21">
        <f>(F14/J14)-1</f>
        <v>0.14237726606533352</v>
      </c>
      <c r="G72" s="22">
        <f>(G14/K14)-1</f>
        <v>-0.22000921202090662</v>
      </c>
      <c r="H72" s="23">
        <f>(H14/445564)-1</f>
        <v>0.02259608047328787</v>
      </c>
      <c r="I72" s="23">
        <f>(I14/420383)-1</f>
        <v>0.005392701417516799</v>
      </c>
      <c r="J72" s="24">
        <f>(J14/349582)-1</f>
        <v>0.16325211252295602</v>
      </c>
      <c r="K72" s="21">
        <f>(K14/L14)-1</f>
        <v>0.6892972773370787</v>
      </c>
      <c r="L72" s="21">
        <f>(L14/834)-1</f>
        <v>362.67625899280574</v>
      </c>
    </row>
    <row r="73" spans="2:12" ht="11.25">
      <c r="B73" s="1" t="s">
        <v>16</v>
      </c>
      <c r="C73" s="21">
        <f t="shared" si="19"/>
        <v>-0.03589063725693842</v>
      </c>
      <c r="D73" s="21">
        <f t="shared" si="19"/>
        <v>0.02427515367920141</v>
      </c>
      <c r="E73" s="21">
        <f t="shared" si="19"/>
        <v>0.12181727805835907</v>
      </c>
      <c r="F73" s="21">
        <f>(F15/J15)-1</f>
        <v>0.2601332833945891</v>
      </c>
      <c r="G73" s="22">
        <f>(G15/K15)-1</f>
        <v>0.10193268469780437</v>
      </c>
      <c r="H73" s="23">
        <f>(H15/3724651)-1</f>
        <v>0.09612766404154383</v>
      </c>
      <c r="I73" s="23">
        <f>(I15/4150019)-1</f>
        <v>-0.12111510814769766</v>
      </c>
      <c r="J73" s="24">
        <f>(J15/4082393)-1</f>
        <v>-0.15043725579580403</v>
      </c>
      <c r="K73" s="21">
        <f>(K15/L15)-1</f>
        <v>-0.09557130505729494</v>
      </c>
      <c r="L73" s="21">
        <f>(L15/4238296)-1</f>
        <v>-0.03122622865415725</v>
      </c>
    </row>
    <row r="74" spans="1:12" ht="11.25">
      <c r="A74" s="1" t="s">
        <v>65</v>
      </c>
      <c r="C74" s="21">
        <f aca="true" t="shared" si="20" ref="C74:G75">(C17/G17)-1</f>
        <v>-0.08468156526472825</v>
      </c>
      <c r="D74" s="21">
        <f t="shared" si="20"/>
        <v>-0.034548519229605335</v>
      </c>
      <c r="E74" s="21">
        <f t="shared" si="20"/>
        <v>-0.05959912068615747</v>
      </c>
      <c r="F74" s="21">
        <f t="shared" si="20"/>
        <v>0.08606968024776251</v>
      </c>
      <c r="G74" s="22">
        <f t="shared" si="20"/>
        <v>0.055976235754721326</v>
      </c>
      <c r="H74" s="23">
        <f>H17/1199147-1</f>
        <v>0.2952356967077432</v>
      </c>
      <c r="I74" s="23">
        <f>I17/1229750-1</f>
        <v>0.22256149623907295</v>
      </c>
      <c r="J74" s="24">
        <f>J17/1063800-1</f>
        <v>0.27966159052453476</v>
      </c>
      <c r="K74" s="21">
        <f>(K17/L17)-1</f>
        <v>0.29740883127980977</v>
      </c>
      <c r="L74" s="21">
        <f>L17/1074910-1</f>
        <v>-0.02454810170153776</v>
      </c>
    </row>
    <row r="75" spans="2:12" ht="11.25">
      <c r="B75" s="1" t="s">
        <v>15</v>
      </c>
      <c r="C75" s="21">
        <f t="shared" si="20"/>
        <v>-0.4664390698694746</v>
      </c>
      <c r="D75" s="21">
        <f t="shared" si="20"/>
        <v>-0.307932557327789</v>
      </c>
      <c r="E75" s="21">
        <f t="shared" si="20"/>
        <v>-0.2512615060441389</v>
      </c>
      <c r="F75" s="21">
        <f t="shared" si="20"/>
        <v>0.21157232448833074</v>
      </c>
      <c r="G75" s="22">
        <f t="shared" si="20"/>
        <v>0.3637434510921391</v>
      </c>
      <c r="H75" s="23">
        <f>(H18/244125)-1</f>
        <v>0.34957501280081926</v>
      </c>
      <c r="I75" s="23">
        <f>(I18/270245)-1</f>
        <v>0.3346407889137635</v>
      </c>
      <c r="J75" s="24">
        <f>(J18/195938)-1</f>
        <v>0.5071502209882719</v>
      </c>
      <c r="K75" s="21">
        <f>(K18/L18)-1</f>
        <v>0.16374943425129684</v>
      </c>
      <c r="L75" s="21">
        <f>(L18/196664)-1</f>
        <v>0.16840906317373805</v>
      </c>
    </row>
    <row r="76" spans="2:12" ht="11.25">
      <c r="B76" s="1" t="s">
        <v>16</v>
      </c>
      <c r="C76" s="21">
        <f>(C22/G22)-1</f>
        <v>0.04520768665955743</v>
      </c>
      <c r="D76" s="21">
        <f>(D22/H22)-1</f>
        <v>0.03905572630183718</v>
      </c>
      <c r="E76" s="21">
        <f>(E22/I22)-1</f>
        <v>0.0008934470341670497</v>
      </c>
      <c r="F76" s="21">
        <f>(F22/J22)-1</f>
        <v>0.05130225629364471</v>
      </c>
      <c r="G76" s="22">
        <f>(G22/K22)-1</f>
        <v>-0.019324727892899185</v>
      </c>
      <c r="H76" s="23">
        <f>(H22/955022)-1</f>
        <v>0.2813453512065691</v>
      </c>
      <c r="I76" s="23">
        <f>(I22/959505)-1</f>
        <v>0.19099431477689022</v>
      </c>
      <c r="J76" s="24">
        <f>(J22/867862)-1</f>
        <v>0.22830127370480557</v>
      </c>
      <c r="K76" s="21">
        <f>(K22/L22)-1</f>
        <v>0.33492114092525216</v>
      </c>
      <c r="L76" s="21">
        <f>(L22/878247)-1</f>
        <v>-0.06775770369839007</v>
      </c>
    </row>
    <row r="77" spans="1:12" ht="11.25">
      <c r="A77" s="1" t="s">
        <v>66</v>
      </c>
      <c r="C77" s="21">
        <f>(C25/G25)-1</f>
        <v>-0.1625839469046606</v>
      </c>
      <c r="D77" s="21">
        <f>(D25/H25)-1</f>
        <v>-0.021621953934753635</v>
      </c>
      <c r="E77" s="21">
        <f>(E25/I25)-1</f>
        <v>0.02098329070643068</v>
      </c>
      <c r="F77" s="21">
        <f>(F25/J25)-1</f>
        <v>0.012787299223807835</v>
      </c>
      <c r="G77" s="22">
        <f>(G25/K25)-1</f>
        <v>0.007350800100591748</v>
      </c>
      <c r="H77" s="23">
        <f>(H25/586204)-1</f>
        <v>0.026676720049675584</v>
      </c>
      <c r="I77" s="23">
        <f>(I25/562696)-1</f>
        <v>0.047833999175398434</v>
      </c>
      <c r="J77" s="24">
        <f>(J25/542663)-1</f>
        <v>0.09897487022332463</v>
      </c>
      <c r="K77" s="21">
        <f>(K25/L25)-1</f>
        <v>0.10877648694707842</v>
      </c>
      <c r="L77" s="21">
        <f>(L25/511468)-1</f>
        <v>0.06580861363760793</v>
      </c>
    </row>
    <row r="78" spans="1:12" ht="11.25">
      <c r="A78" s="2" t="s">
        <v>67</v>
      </c>
      <c r="B78" s="2"/>
      <c r="C78" s="25">
        <f>(C40/G40)-1</f>
        <v>-0.9419191617838347</v>
      </c>
      <c r="D78" s="25">
        <f>(D40/H40)-1</f>
        <v>0.07556507035261628</v>
      </c>
      <c r="E78" s="25">
        <f>(E40/I40)-1</f>
        <v>0.2535922238918107</v>
      </c>
      <c r="F78" s="25">
        <f>(F40/J40)-1</f>
        <v>0.04695602074130978</v>
      </c>
      <c r="G78" s="26">
        <f>(G40/K40)-1</f>
        <v>-0.034274123843219484</v>
      </c>
      <c r="H78" s="25">
        <f>(H40/64883)-1</f>
        <v>-0.006504014919162193</v>
      </c>
      <c r="I78" s="25">
        <f>(I40/41232)-1</f>
        <v>0.032984090027163404</v>
      </c>
      <c r="J78" s="27">
        <f>(J40/19800)-1</f>
        <v>0.05191919191919192</v>
      </c>
      <c r="K78" s="25">
        <f>(K40/L40)-1</f>
        <v>0.20879595447390042</v>
      </c>
      <c r="L78" s="25">
        <f>(L40/65904)-1</f>
        <v>0.08920551104637053</v>
      </c>
    </row>
  </sheetData>
  <sheetProtection password="CD66" sheet="1" objects="1" scenarios="1"/>
  <mergeCells count="3">
    <mergeCell ref="G8:J8"/>
    <mergeCell ref="K8:L8"/>
    <mergeCell ref="C8:F8"/>
  </mergeCells>
  <printOptions horizontalCentered="1" verticalCentered="1"/>
  <pageMargins left="0.75" right="0.75" top="1" bottom="1" header="0" footer="0"/>
  <pageSetup horizontalDpi="300" verticalDpi="300" orientation="landscape" r:id="rId3"/>
  <legacyDrawing r:id="rId2"/>
  <oleObjects>
    <oleObject progId="MSPhotoEd.3" shapeId="46139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2002-04-01T16:36:21Z</cp:lastPrinted>
  <dcterms:created xsi:type="dcterms:W3CDTF">2002-03-19T20:26:15Z</dcterms:created>
  <dcterms:modified xsi:type="dcterms:W3CDTF">2002-03-27T16:17:45Z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