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BSCHisp" sheetId="1" r:id="rId1"/>
  </sheets>
  <definedNames/>
  <calcPr fullCalcOnLoad="1"/>
</workbook>
</file>

<file path=xl/sharedStrings.xml><?xml version="1.0" encoding="utf-8"?>
<sst xmlns="http://schemas.openxmlformats.org/spreadsheetml/2006/main" count="86" uniqueCount="70">
  <si>
    <t>CUADRO No. 18-32</t>
  </si>
  <si>
    <t>BANCO SANTANDER CENTRAL HISPANO (1)</t>
  </si>
  <si>
    <t>ESTADISTICA FINANCIERA. AÑO  1999, TRIMESTRES DE 2000 Y 2001</t>
  </si>
  <si>
    <t>(En miles de balboas)</t>
  </si>
  <si>
    <t xml:space="preserve">Año 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</si>
  <si>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</si>
  <si>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</si>
  <si>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</si>
  <si>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</si>
  <si>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</si>
  <si>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</si>
  <si>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</si>
  <si>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</si>
  <si>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</si>
  <si>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</si>
  <si>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</si>
  <si>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</si>
  <si>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</si>
  <si>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</si>
  <si>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</si>
  <si>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</si>
  <si>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</si>
  <si>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</si>
  <si>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</si>
  <si>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</si>
  <si>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</si>
  <si>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</si>
  <si>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</si>
  <si>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</si>
  <si>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</si>
  <si>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</si>
  <si>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</si>
  <si>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</si>
  <si>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</si>
  <si>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</si>
  <si>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</si>
  <si>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</si>
  <si>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</si>
  <si>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</si>
  <si>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</si>
  <si>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</si>
  <si>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Activos Generadores de Ingreso</t>
  </si>
  <si>
    <t>Patrimonio /Préstamos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</si>
  <si>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</si>
  <si>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</si>
  <si>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</si>
  <si>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</si>
  <si>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</si>
  <si>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</si>
  <si>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</si>
  <si>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</si>
  <si>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</si>
  <si>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</si>
  <si>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</si>
  <si>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</si>
  <si>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</si>
  <si>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</si>
  <si>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</si>
  <si>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</si>
  <si>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</si>
  <si>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</si>
  <si>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</si>
  <si>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</si>
  <si>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</si>
  <si>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</si>
  <si>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</si>
  <si>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</si>
  <si>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</si>
  <si>
    <t>Nota:</t>
  </si>
  <si>
    <t>(1)  Antes Banco Central Hispanoamericano.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</si>
</sst>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_(* #,##0.0_);_(* \(#,##0.0\);_(* &quot;-&quot;??_);_(@_)"/>
    <numFmt numFmtId="189" formatCode="_(* #,##0_);_(* \(#,##0\);_(* &quot;-&quot;??_);_(@_)"/>
    <numFmt numFmtId="190" formatCode="_(* #,##0.000_);_(* \(#,##0.000\);_(* &quot;-&quot;??_);_(@_)"/>
    <numFmt numFmtId="191" formatCode="0.0%"/>
    <numFmt numFmtId="192" formatCode="_(* #,##0.0000_);_(* \(#,##0.0000\);_(* &quot;-&quot;??_);_(@_)"/>
    <numFmt numFmtId="193" formatCode="0.00000"/>
    <numFmt numFmtId="194" formatCode="0.0000"/>
    <numFmt numFmtId="195" formatCode="0.000"/>
    <numFmt numFmtId="196" formatCode="0.0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/>
    </xf>
    <xf numFmtId="189" fontId="1" fillId="0" borderId="0" xfId="15" applyNumberFormat="1" applyFont="1" applyAlignment="1">
      <alignment/>
    </xf>
    <xf numFmtId="189" fontId="1" fillId="0" borderId="6" xfId="15" applyNumberFormat="1" applyFont="1" applyBorder="1" applyAlignment="1">
      <alignment/>
    </xf>
    <xf numFmtId="189" fontId="1" fillId="0" borderId="0" xfId="15" applyNumberFormat="1" applyFont="1" applyBorder="1" applyAlignment="1">
      <alignment/>
    </xf>
    <xf numFmtId="189" fontId="1" fillId="0" borderId="7" xfId="15" applyNumberFormat="1" applyFont="1" applyBorder="1" applyAlignment="1">
      <alignment/>
    </xf>
    <xf numFmtId="189" fontId="2" fillId="0" borderId="0" xfId="15" applyNumberFormat="1" applyFont="1" applyAlignment="1">
      <alignment/>
    </xf>
    <xf numFmtId="189" fontId="2" fillId="0" borderId="6" xfId="15" applyNumberFormat="1" applyFont="1" applyBorder="1" applyAlignment="1">
      <alignment/>
    </xf>
    <xf numFmtId="189" fontId="2" fillId="0" borderId="0" xfId="15" applyNumberFormat="1" applyFont="1" applyBorder="1" applyAlignment="1">
      <alignment/>
    </xf>
    <xf numFmtId="189" fontId="2" fillId="0" borderId="7" xfId="15" applyNumberFormat="1" applyFont="1" applyBorder="1" applyAlignment="1">
      <alignment/>
    </xf>
    <xf numFmtId="189" fontId="2" fillId="0" borderId="1" xfId="15" applyNumberFormat="1" applyFont="1" applyBorder="1" applyAlignment="1">
      <alignment/>
    </xf>
    <xf numFmtId="189" fontId="2" fillId="0" borderId="4" xfId="15" applyNumberFormat="1" applyFont="1" applyBorder="1" applyAlignment="1">
      <alignment/>
    </xf>
    <xf numFmtId="189" fontId="2" fillId="0" borderId="5" xfId="15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89" fontId="2" fillId="0" borderId="0" xfId="0" applyNumberFormat="1" applyFont="1" applyAlignment="1">
      <alignment/>
    </xf>
    <xf numFmtId="10" fontId="2" fillId="0" borderId="0" xfId="19" applyNumberFormat="1" applyFont="1" applyAlignment="1">
      <alignment/>
    </xf>
    <xf numFmtId="10" fontId="2" fillId="0" borderId="6" xfId="19" applyNumberFormat="1" applyFont="1" applyBorder="1" applyAlignment="1">
      <alignment/>
    </xf>
    <xf numFmtId="10" fontId="2" fillId="0" borderId="0" xfId="19" applyNumberFormat="1" applyFont="1" applyBorder="1" applyAlignment="1">
      <alignment/>
    </xf>
    <xf numFmtId="10" fontId="2" fillId="0" borderId="7" xfId="19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91" fontId="2" fillId="0" borderId="0" xfId="19" applyNumberFormat="1" applyFont="1" applyAlignment="1">
      <alignment/>
    </xf>
    <xf numFmtId="191" fontId="2" fillId="0" borderId="6" xfId="19" applyNumberFormat="1" applyFont="1" applyBorder="1" applyAlignment="1">
      <alignment/>
    </xf>
    <xf numFmtId="191" fontId="2" fillId="0" borderId="0" xfId="19" applyNumberFormat="1" applyFont="1" applyBorder="1" applyAlignment="1">
      <alignment/>
    </xf>
    <xf numFmtId="191" fontId="2" fillId="0" borderId="7" xfId="19" applyNumberFormat="1" applyFont="1" applyBorder="1" applyAlignment="1">
      <alignment/>
    </xf>
    <xf numFmtId="191" fontId="2" fillId="0" borderId="1" xfId="19" applyNumberFormat="1" applyFont="1" applyBorder="1" applyAlignment="1">
      <alignment/>
    </xf>
    <xf numFmtId="191" fontId="2" fillId="0" borderId="4" xfId="19" applyNumberFormat="1" applyFont="1" applyBorder="1" applyAlignment="1">
      <alignment/>
    </xf>
    <xf numFmtId="191" fontId="2" fillId="0" borderId="5" xfId="19" applyNumberFormat="1" applyFont="1" applyBorder="1" applyAlignment="1">
      <alignment/>
    </xf>
    <xf numFmtId="10" fontId="2" fillId="0" borderId="0" xfId="19" applyNumberFormat="1" applyFont="1" applyFill="1" applyBorder="1" applyAlignment="1">
      <alignment/>
    </xf>
    <xf numFmtId="10" fontId="2" fillId="0" borderId="6" xfId="19" applyNumberFormat="1" applyFont="1" applyFill="1" applyBorder="1" applyAlignment="1">
      <alignment/>
    </xf>
    <xf numFmtId="10" fontId="2" fillId="0" borderId="1" xfId="19" applyNumberFormat="1" applyFont="1" applyFill="1" applyBorder="1" applyAlignment="1">
      <alignment/>
    </xf>
    <xf numFmtId="10" fontId="2" fillId="0" borderId="4" xfId="19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2" fillId="0" borderId="1" xfId="0" applyNumberFormat="1" applyFont="1" applyBorder="1" applyAlignment="1">
      <alignment/>
    </xf>
    <xf numFmtId="3" fontId="2" fillId="0" borderId="1" xfId="15" applyNumberFormat="1" applyFont="1" applyBorder="1" applyAlignment="1">
      <alignment/>
    </xf>
    <xf numFmtId="3" fontId="2" fillId="0" borderId="4" xfId="15" applyNumberFormat="1" applyFont="1" applyBorder="1" applyAlignment="1">
      <alignment/>
    </xf>
    <xf numFmtId="3" fontId="2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1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7" sqref="B7"/>
    </sheetView>
  </sheetViews>
  <sheetFormatPr defaultColWidth="11.421875" defaultRowHeight="12.75"/>
  <cols>
    <col min="1" max="1" width="3.57421875" style="1" customWidth="1"/>
    <col min="2" max="2" width="40.8515625" style="1" customWidth="1"/>
    <col min="3" max="3" width="7.7109375" style="1" bestFit="1" customWidth="1"/>
    <col min="4" max="4" width="8.7109375" style="1" bestFit="1" customWidth="1"/>
    <col min="5" max="6" width="7.7109375" style="1" bestFit="1" customWidth="1"/>
    <col min="7" max="7" width="8.00390625" style="1" bestFit="1" customWidth="1"/>
    <col min="8" max="8" width="8.7109375" style="1" bestFit="1" customWidth="1"/>
    <col min="9" max="11" width="7.7109375" style="1" bestFit="1" customWidth="1"/>
    <col min="12" max="12" width="6.421875" style="1" hidden="1" customWidth="1"/>
    <col min="13" max="16384" width="11.421875" style="1" customWidth="1"/>
  </cols>
  <sheetData>
    <row r="1" ht="11.25"/>
    <row r="2" spans="2:12" ht="12.75" customHeight="1">
      <c r="B2" s="44"/>
      <c r="C2" s="49" t="s">
        <v>0</v>
      </c>
      <c r="D2" s="49"/>
      <c r="E2" s="49"/>
      <c r="F2" s="49"/>
      <c r="G2" s="49"/>
      <c r="H2" s="49"/>
      <c r="I2" s="49"/>
      <c r="J2" s="44"/>
      <c r="K2" s="44"/>
      <c r="L2" s="44"/>
    </row>
    <row r="3" spans="2:12" ht="12.75" customHeight="1">
      <c r="B3" s="44"/>
      <c r="C3" s="49" t="s">
        <v>1</v>
      </c>
      <c r="D3" s="49"/>
      <c r="E3" s="49"/>
      <c r="F3" s="49"/>
      <c r="G3" s="49"/>
      <c r="H3" s="49"/>
      <c r="I3" s="49"/>
      <c r="J3" s="44"/>
      <c r="K3" s="44"/>
      <c r="L3" s="44"/>
    </row>
    <row r="4" spans="2:12" ht="12.75" customHeight="1">
      <c r="B4" s="44"/>
      <c r="C4" s="49" t="s">
        <v>2</v>
      </c>
      <c r="D4" s="49"/>
      <c r="E4" s="49"/>
      <c r="F4" s="49"/>
      <c r="G4" s="49"/>
      <c r="H4" s="49"/>
      <c r="I4" s="49"/>
      <c r="J4" s="44"/>
      <c r="K4" s="44"/>
      <c r="L4" s="44"/>
    </row>
    <row r="5" spans="2:12" ht="12.75" customHeight="1">
      <c r="B5" s="43"/>
      <c r="C5" s="50" t="s">
        <v>3</v>
      </c>
      <c r="D5" s="50"/>
      <c r="E5" s="50"/>
      <c r="F5" s="50"/>
      <c r="G5" s="50"/>
      <c r="H5" s="50"/>
      <c r="I5" s="50"/>
      <c r="J5" s="43"/>
      <c r="K5" s="43"/>
      <c r="L5" s="43"/>
    </row>
    <row r="6" spans="1:12" ht="11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1.25">
      <c r="A8" s="3"/>
      <c r="B8" s="3"/>
      <c r="C8" s="52">
        <v>2001</v>
      </c>
      <c r="D8" s="52"/>
      <c r="E8" s="52"/>
      <c r="F8" s="53"/>
      <c r="G8" s="51">
        <v>2000</v>
      </c>
      <c r="H8" s="52"/>
      <c r="I8" s="52"/>
      <c r="J8" s="53"/>
      <c r="K8" s="52" t="s">
        <v>4</v>
      </c>
      <c r="L8" s="52"/>
    </row>
    <row r="9" spans="1:12" ht="11.25">
      <c r="A9" s="4"/>
      <c r="B9" s="4"/>
      <c r="C9" s="5" t="s">
        <v>5</v>
      </c>
      <c r="D9" s="4" t="s">
        <v>6</v>
      </c>
      <c r="E9" s="4" t="s">
        <v>7</v>
      </c>
      <c r="F9" s="4" t="s">
        <v>8</v>
      </c>
      <c r="G9" s="6" t="s">
        <v>5</v>
      </c>
      <c r="H9" s="4" t="s">
        <v>6</v>
      </c>
      <c r="I9" s="4" t="s">
        <v>7</v>
      </c>
      <c r="J9" s="7" t="s">
        <v>8</v>
      </c>
      <c r="K9" s="8" t="s">
        <v>9</v>
      </c>
      <c r="L9" s="8" t="s">
        <v>10</v>
      </c>
    </row>
    <row r="10" spans="1:12" ht="11.25">
      <c r="A10" s="9" t="s">
        <v>11</v>
      </c>
      <c r="B10" s="9"/>
      <c r="C10" s="9"/>
      <c r="D10" s="9"/>
      <c r="E10" s="9"/>
      <c r="F10" s="10"/>
      <c r="G10" s="11"/>
      <c r="H10" s="12"/>
      <c r="I10" s="12"/>
      <c r="J10" s="13"/>
      <c r="K10" s="10"/>
      <c r="L10" s="10"/>
    </row>
    <row r="11" spans="1:12" ht="11.25">
      <c r="A11" s="1" t="s">
        <v>12</v>
      </c>
      <c r="C11" s="14">
        <v>12763</v>
      </c>
      <c r="D11" s="14">
        <v>14107</v>
      </c>
      <c r="E11" s="14">
        <v>51821</v>
      </c>
      <c r="F11" s="14">
        <v>69135</v>
      </c>
      <c r="G11" s="15">
        <v>111693</v>
      </c>
      <c r="H11" s="16">
        <v>145633</v>
      </c>
      <c r="I11" s="16">
        <v>107358</v>
      </c>
      <c r="J11" s="17">
        <v>106265</v>
      </c>
      <c r="K11" s="14">
        <v>117773</v>
      </c>
      <c r="L11" s="14">
        <v>127824</v>
      </c>
    </row>
    <row r="12" spans="1:12" ht="11.25">
      <c r="A12" s="1" t="s">
        <v>13</v>
      </c>
      <c r="C12" s="14">
        <v>11955</v>
      </c>
      <c r="D12" s="14">
        <v>12690</v>
      </c>
      <c r="E12" s="14">
        <v>8314</v>
      </c>
      <c r="F12" s="14">
        <v>17371</v>
      </c>
      <c r="G12" s="15">
        <v>29486</v>
      </c>
      <c r="H12" s="16">
        <v>27032</v>
      </c>
      <c r="I12" s="16">
        <v>13207</v>
      </c>
      <c r="J12" s="17">
        <v>12573</v>
      </c>
      <c r="K12" s="14">
        <v>28454</v>
      </c>
      <c r="L12" s="14">
        <v>35431</v>
      </c>
    </row>
    <row r="13" spans="1:12" ht="11.25">
      <c r="A13" s="1" t="s">
        <v>14</v>
      </c>
      <c r="C13" s="14">
        <f aca="true" t="shared" si="0" ref="C13:L13">C14+C15</f>
        <v>0</v>
      </c>
      <c r="D13" s="14">
        <f t="shared" si="0"/>
        <v>1140</v>
      </c>
      <c r="E13" s="14">
        <f t="shared" si="0"/>
        <v>37756</v>
      </c>
      <c r="F13" s="14">
        <f t="shared" si="0"/>
        <v>45698</v>
      </c>
      <c r="G13" s="15">
        <f t="shared" si="0"/>
        <v>75051</v>
      </c>
      <c r="H13" s="16">
        <f t="shared" si="0"/>
        <v>106061</v>
      </c>
      <c r="I13" s="16">
        <f t="shared" si="0"/>
        <v>84419</v>
      </c>
      <c r="J13" s="17">
        <f t="shared" si="0"/>
        <v>83546</v>
      </c>
      <c r="K13" s="14">
        <f t="shared" si="0"/>
        <v>77022</v>
      </c>
      <c r="L13" s="14">
        <f t="shared" si="0"/>
        <v>89192</v>
      </c>
    </row>
    <row r="14" spans="2:12" ht="11.25">
      <c r="B14" s="1" t="s">
        <v>15</v>
      </c>
      <c r="C14" s="14">
        <v>0</v>
      </c>
      <c r="D14" s="14">
        <v>1140</v>
      </c>
      <c r="E14" s="14">
        <v>20109</v>
      </c>
      <c r="F14" s="14">
        <v>28021</v>
      </c>
      <c r="G14" s="15">
        <v>47840</v>
      </c>
      <c r="H14" s="16">
        <v>74718</v>
      </c>
      <c r="I14" s="16">
        <v>72590</v>
      </c>
      <c r="J14" s="17">
        <v>81286</v>
      </c>
      <c r="K14" s="14">
        <v>74856</v>
      </c>
      <c r="L14" s="14">
        <v>68618</v>
      </c>
    </row>
    <row r="15" spans="2:12" ht="11.25">
      <c r="B15" s="1" t="s">
        <v>16</v>
      </c>
      <c r="C15" s="14">
        <v>0</v>
      </c>
      <c r="D15" s="14">
        <v>0</v>
      </c>
      <c r="E15" s="14">
        <v>17647</v>
      </c>
      <c r="F15" s="14">
        <v>17677</v>
      </c>
      <c r="G15" s="15">
        <v>27211</v>
      </c>
      <c r="H15" s="16">
        <v>31343</v>
      </c>
      <c r="I15" s="16">
        <v>11829</v>
      </c>
      <c r="J15" s="17">
        <v>2260</v>
      </c>
      <c r="K15" s="14">
        <v>2166</v>
      </c>
      <c r="L15" s="14">
        <v>20574</v>
      </c>
    </row>
    <row r="16" spans="1:12" ht="11.25">
      <c r="A16" s="1" t="s">
        <v>17</v>
      </c>
      <c r="C16" s="14">
        <v>0</v>
      </c>
      <c r="D16" s="14">
        <v>0</v>
      </c>
      <c r="E16" s="14">
        <v>2000</v>
      </c>
      <c r="F16" s="14">
        <v>2250</v>
      </c>
      <c r="G16" s="15">
        <v>2500</v>
      </c>
      <c r="H16" s="16">
        <v>5927</v>
      </c>
      <c r="I16" s="16">
        <v>4007</v>
      </c>
      <c r="J16" s="17">
        <v>4256</v>
      </c>
      <c r="K16" s="14">
        <v>4506</v>
      </c>
      <c r="L16" s="14">
        <v>0</v>
      </c>
    </row>
    <row r="17" spans="1:12" ht="11.25">
      <c r="A17" s="1" t="s">
        <v>18</v>
      </c>
      <c r="C17" s="14">
        <f aca="true" t="shared" si="1" ref="C17:L17">C18+C22</f>
        <v>2476</v>
      </c>
      <c r="D17" s="14">
        <f t="shared" si="1"/>
        <v>3343</v>
      </c>
      <c r="E17" s="14">
        <f t="shared" si="1"/>
        <v>22923</v>
      </c>
      <c r="F17" s="14">
        <f t="shared" si="1"/>
        <v>40949</v>
      </c>
      <c r="G17" s="15">
        <f t="shared" si="1"/>
        <v>77071</v>
      </c>
      <c r="H17" s="16">
        <f t="shared" si="1"/>
        <v>111494</v>
      </c>
      <c r="I17" s="16">
        <f t="shared" si="1"/>
        <v>75421</v>
      </c>
      <c r="J17" s="17">
        <f t="shared" si="1"/>
        <v>71113</v>
      </c>
      <c r="K17" s="14">
        <f t="shared" si="1"/>
        <v>82680</v>
      </c>
      <c r="L17" s="14">
        <f t="shared" si="1"/>
        <v>89446</v>
      </c>
    </row>
    <row r="18" spans="2:12" ht="11.25">
      <c r="B18" s="1" t="s">
        <v>15</v>
      </c>
      <c r="C18" s="14">
        <f aca="true" t="shared" si="2" ref="C18:L18">SUM(C19:C21)</f>
        <v>2098</v>
      </c>
      <c r="D18" s="14">
        <f t="shared" si="2"/>
        <v>2900</v>
      </c>
      <c r="E18" s="14">
        <f t="shared" si="2"/>
        <v>22312</v>
      </c>
      <c r="F18" s="14">
        <f t="shared" si="2"/>
        <v>34927</v>
      </c>
      <c r="G18" s="15">
        <f t="shared" si="2"/>
        <v>55791</v>
      </c>
      <c r="H18" s="16">
        <f t="shared" si="2"/>
        <v>85017</v>
      </c>
      <c r="I18" s="16">
        <f t="shared" si="2"/>
        <v>42628</v>
      </c>
      <c r="J18" s="17">
        <f t="shared" si="2"/>
        <v>39774</v>
      </c>
      <c r="K18" s="14">
        <f t="shared" si="2"/>
        <v>50613</v>
      </c>
      <c r="L18" s="14">
        <f t="shared" si="2"/>
        <v>52880</v>
      </c>
    </row>
    <row r="19" spans="2:12" ht="11.25">
      <c r="B19" s="1" t="s">
        <v>19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  <c r="H19" s="16">
        <v>0</v>
      </c>
      <c r="I19" s="16">
        <v>0</v>
      </c>
      <c r="J19" s="17">
        <v>0</v>
      </c>
      <c r="K19" s="14">
        <v>0</v>
      </c>
      <c r="L19" s="14">
        <v>0</v>
      </c>
    </row>
    <row r="20" spans="2:12" ht="11.25">
      <c r="B20" s="1" t="s">
        <v>20</v>
      </c>
      <c r="C20" s="14">
        <f>1+1994</f>
        <v>1995</v>
      </c>
      <c r="D20" s="14">
        <v>2096</v>
      </c>
      <c r="E20" s="14">
        <v>11899</v>
      </c>
      <c r="F20" s="14">
        <v>17582</v>
      </c>
      <c r="G20" s="15">
        <v>28570</v>
      </c>
      <c r="H20" s="16">
        <v>39660</v>
      </c>
      <c r="I20" s="16">
        <v>35410</v>
      </c>
      <c r="J20" s="17">
        <v>37312</v>
      </c>
      <c r="K20" s="14">
        <v>41588</v>
      </c>
      <c r="L20" s="14">
        <v>52880</v>
      </c>
    </row>
    <row r="21" spans="2:12" ht="11.25">
      <c r="B21" s="1" t="s">
        <v>21</v>
      </c>
      <c r="C21" s="14">
        <v>103</v>
      </c>
      <c r="D21" s="14">
        <v>804</v>
      </c>
      <c r="E21" s="14">
        <v>10413</v>
      </c>
      <c r="F21" s="14">
        <v>17345</v>
      </c>
      <c r="G21" s="15">
        <v>27221</v>
      </c>
      <c r="H21" s="16">
        <v>45357</v>
      </c>
      <c r="I21" s="16">
        <v>7218</v>
      </c>
      <c r="J21" s="17">
        <v>2462</v>
      </c>
      <c r="K21" s="14">
        <v>9025</v>
      </c>
      <c r="L21" s="14">
        <v>0</v>
      </c>
    </row>
    <row r="22" spans="2:12" ht="11.25">
      <c r="B22" s="1" t="s">
        <v>16</v>
      </c>
      <c r="C22" s="14">
        <f aca="true" t="shared" si="3" ref="C22:L22">SUM(C23:C24)</f>
        <v>378</v>
      </c>
      <c r="D22" s="14">
        <f t="shared" si="3"/>
        <v>443</v>
      </c>
      <c r="E22" s="14">
        <f t="shared" si="3"/>
        <v>611</v>
      </c>
      <c r="F22" s="14">
        <f t="shared" si="3"/>
        <v>6022</v>
      </c>
      <c r="G22" s="15">
        <f t="shared" si="3"/>
        <v>21280</v>
      </c>
      <c r="H22" s="16">
        <f t="shared" si="3"/>
        <v>26477</v>
      </c>
      <c r="I22" s="16">
        <f t="shared" si="3"/>
        <v>32793</v>
      </c>
      <c r="J22" s="17">
        <f t="shared" si="3"/>
        <v>31339</v>
      </c>
      <c r="K22" s="14">
        <f t="shared" si="3"/>
        <v>32067</v>
      </c>
      <c r="L22" s="14">
        <f t="shared" si="3"/>
        <v>36566</v>
      </c>
    </row>
    <row r="23" spans="2:12" ht="11.25">
      <c r="B23" s="1" t="s">
        <v>20</v>
      </c>
      <c r="C23" s="14">
        <v>0</v>
      </c>
      <c r="D23" s="14">
        <v>128</v>
      </c>
      <c r="E23" s="14">
        <v>311</v>
      </c>
      <c r="F23" s="14">
        <v>2858</v>
      </c>
      <c r="G23" s="15">
        <v>4168</v>
      </c>
      <c r="H23" s="16">
        <v>7774</v>
      </c>
      <c r="I23" s="16">
        <v>7339</v>
      </c>
      <c r="J23" s="17">
        <v>5659</v>
      </c>
      <c r="K23" s="14">
        <v>4667</v>
      </c>
      <c r="L23" s="14">
        <v>5243</v>
      </c>
    </row>
    <row r="24" spans="2:12" ht="11.25">
      <c r="B24" s="1" t="s">
        <v>21</v>
      </c>
      <c r="C24" s="14">
        <v>378</v>
      </c>
      <c r="D24" s="14">
        <v>315</v>
      </c>
      <c r="E24" s="14">
        <v>300</v>
      </c>
      <c r="F24" s="14">
        <v>3164</v>
      </c>
      <c r="G24" s="15">
        <v>17112</v>
      </c>
      <c r="H24" s="16">
        <v>18703</v>
      </c>
      <c r="I24" s="16">
        <v>25454</v>
      </c>
      <c r="J24" s="17">
        <v>25680</v>
      </c>
      <c r="K24" s="14">
        <v>27400</v>
      </c>
      <c r="L24" s="14">
        <v>31323</v>
      </c>
    </row>
    <row r="25" spans="1:12" ht="11.25">
      <c r="A25" s="2" t="s">
        <v>22</v>
      </c>
      <c r="B25" s="2"/>
      <c r="C25" s="18">
        <v>10012</v>
      </c>
      <c r="D25" s="18">
        <v>8948</v>
      </c>
      <c r="E25" s="18">
        <v>15734</v>
      </c>
      <c r="F25" s="18">
        <v>15022</v>
      </c>
      <c r="G25" s="19">
        <v>17148</v>
      </c>
      <c r="H25" s="18">
        <v>21432</v>
      </c>
      <c r="I25" s="18">
        <v>24866</v>
      </c>
      <c r="J25" s="20">
        <v>24566</v>
      </c>
      <c r="K25" s="18">
        <v>24086</v>
      </c>
      <c r="L25" s="18">
        <v>25319</v>
      </c>
    </row>
    <row r="26" spans="1:12" ht="11.25">
      <c r="A26" s="9" t="s">
        <v>23</v>
      </c>
      <c r="D26" s="14"/>
      <c r="F26" s="14"/>
      <c r="G26" s="15"/>
      <c r="H26" s="16"/>
      <c r="I26" s="16"/>
      <c r="J26" s="17"/>
      <c r="K26" s="14"/>
      <c r="L26" s="14"/>
    </row>
    <row r="27" spans="1:12" ht="11.25">
      <c r="A27" s="1" t="s">
        <v>12</v>
      </c>
      <c r="C27" s="14">
        <f>(C11+G11)/2</f>
        <v>62228</v>
      </c>
      <c r="D27" s="14">
        <f>(D11+H11)/2</f>
        <v>79870</v>
      </c>
      <c r="E27" s="14">
        <f>(E11+I11)/2</f>
        <v>79589.5</v>
      </c>
      <c r="F27" s="14">
        <f>(F11+J11)/2</f>
        <v>87700</v>
      </c>
      <c r="G27" s="15">
        <f>(G11+117773)/2</f>
        <v>114733</v>
      </c>
      <c r="H27" s="16">
        <f>(H11+170115)/2</f>
        <v>157874</v>
      </c>
      <c r="I27" s="16">
        <f>(I11+108685)/2</f>
        <v>108021.5</v>
      </c>
      <c r="J27" s="17">
        <f>(J11+116391)/2</f>
        <v>111328</v>
      </c>
      <c r="K27" s="14">
        <f>(K11+L11)/2</f>
        <v>122798.5</v>
      </c>
      <c r="L27" s="14">
        <f>(L11+275306)/2</f>
        <v>201565</v>
      </c>
    </row>
    <row r="28" spans="1:12" ht="11.25">
      <c r="A28" s="1" t="s">
        <v>24</v>
      </c>
      <c r="C28" s="14">
        <f aca="true" t="shared" si="4" ref="C28:L28">C29+C30</f>
        <v>38775.5</v>
      </c>
      <c r="D28" s="14">
        <f t="shared" si="4"/>
        <v>56564</v>
      </c>
      <c r="E28" s="14">
        <f t="shared" si="4"/>
        <v>64091</v>
      </c>
      <c r="F28" s="14">
        <f t="shared" si="4"/>
        <v>67875</v>
      </c>
      <c r="G28" s="15">
        <f t="shared" si="4"/>
        <v>79539.5</v>
      </c>
      <c r="H28" s="16">
        <f t="shared" si="4"/>
        <v>104283.5</v>
      </c>
      <c r="I28" s="16">
        <f t="shared" si="4"/>
        <v>84797</v>
      </c>
      <c r="J28" s="17">
        <f t="shared" si="4"/>
        <v>86846</v>
      </c>
      <c r="K28" s="14">
        <f t="shared" si="4"/>
        <v>85360</v>
      </c>
      <c r="L28" s="14">
        <f t="shared" si="4"/>
        <v>139930.5</v>
      </c>
    </row>
    <row r="29" spans="2:12" ht="11.25">
      <c r="B29" s="1" t="s">
        <v>14</v>
      </c>
      <c r="C29" s="14">
        <f>(C13+G13)/2</f>
        <v>37525.5</v>
      </c>
      <c r="D29" s="14">
        <f>(D13+H13)/2</f>
        <v>53600.5</v>
      </c>
      <c r="E29" s="14">
        <f>(E13+I13)/2</f>
        <v>61087.5</v>
      </c>
      <c r="F29" s="14">
        <f>(F13+J13)/2</f>
        <v>64622</v>
      </c>
      <c r="G29" s="15">
        <f>(G13+K13)/2</f>
        <v>76036.5</v>
      </c>
      <c r="H29" s="16">
        <f>(H13+92225)/2</f>
        <v>99143</v>
      </c>
      <c r="I29" s="16">
        <f>(I13+76814)/2</f>
        <v>80616.5</v>
      </c>
      <c r="J29" s="17">
        <f>(J13+85890)/2</f>
        <v>84718</v>
      </c>
      <c r="K29" s="14">
        <f>(K13+L13)/2</f>
        <v>83107</v>
      </c>
      <c r="L29" s="14">
        <f>(L13+190669)/2</f>
        <v>139930.5</v>
      </c>
    </row>
    <row r="30" spans="2:12" ht="11.25">
      <c r="B30" s="1" t="s">
        <v>17</v>
      </c>
      <c r="C30" s="14">
        <f>(C16+G16)/2</f>
        <v>1250</v>
      </c>
      <c r="D30" s="14">
        <f>(D16+H16)/2</f>
        <v>2963.5</v>
      </c>
      <c r="E30" s="14">
        <f>(E16+I16)/2</f>
        <v>3003.5</v>
      </c>
      <c r="F30" s="14">
        <f>(F16+J16)/2</f>
        <v>3253</v>
      </c>
      <c r="G30" s="15">
        <f>(G16+K16)/2</f>
        <v>3503</v>
      </c>
      <c r="H30" s="16">
        <f>(H16+4354)/2</f>
        <v>5140.5</v>
      </c>
      <c r="I30" s="16">
        <f>(I16+4354)/2</f>
        <v>4180.5</v>
      </c>
      <c r="J30" s="17">
        <f>(J16+0)/2</f>
        <v>2128</v>
      </c>
      <c r="K30" s="14">
        <f>(K16+L16)/2</f>
        <v>2253</v>
      </c>
      <c r="L30" s="14">
        <v>0</v>
      </c>
    </row>
    <row r="31" spans="1:12" ht="11.25">
      <c r="A31" s="2" t="s">
        <v>22</v>
      </c>
      <c r="B31" s="2"/>
      <c r="C31" s="18">
        <f>(C25+G25)/2</f>
        <v>13580</v>
      </c>
      <c r="D31" s="18">
        <f>(D25+H25)/2</f>
        <v>15190</v>
      </c>
      <c r="E31" s="18">
        <f>(E25+I25)/2</f>
        <v>20300</v>
      </c>
      <c r="F31" s="18">
        <f>(F25+J25)/2</f>
        <v>19794</v>
      </c>
      <c r="G31" s="19">
        <f>(G25+K25)/2</f>
        <v>20617</v>
      </c>
      <c r="H31" s="18">
        <f>(H25+24731)/2</f>
        <v>23081.5</v>
      </c>
      <c r="I31" s="18">
        <f>(I25+24195)/2</f>
        <v>24530.5</v>
      </c>
      <c r="J31" s="20">
        <f>(J25+23480)/2</f>
        <v>24023</v>
      </c>
      <c r="K31" s="18">
        <f>(K25+L25)/2</f>
        <v>24702.5</v>
      </c>
      <c r="L31" s="18">
        <f>(L25+25373)/2</f>
        <v>25346</v>
      </c>
    </row>
    <row r="32" spans="1:10" ht="11.25">
      <c r="A32" s="9" t="s">
        <v>25</v>
      </c>
      <c r="D32" s="14"/>
      <c r="F32" s="14"/>
      <c r="G32" s="21"/>
      <c r="H32" s="22"/>
      <c r="I32" s="22"/>
      <c r="J32" s="23"/>
    </row>
    <row r="33" spans="1:12" ht="11.25">
      <c r="A33" s="1" t="s">
        <v>26</v>
      </c>
      <c r="C33" s="24">
        <v>3596</v>
      </c>
      <c r="D33" s="14">
        <f>E33+701</f>
        <v>3589</v>
      </c>
      <c r="E33" s="14">
        <f>F33+1096</f>
        <v>2888</v>
      </c>
      <c r="F33" s="14">
        <v>1792</v>
      </c>
      <c r="G33" s="15">
        <f>2713+H33</f>
        <v>10512</v>
      </c>
      <c r="H33" s="16">
        <f>2854+I33</f>
        <v>7799</v>
      </c>
      <c r="I33" s="16">
        <f>2559+J33</f>
        <v>4945</v>
      </c>
      <c r="J33" s="17">
        <v>2386</v>
      </c>
      <c r="K33" s="14">
        <v>10740</v>
      </c>
      <c r="L33" s="14">
        <v>16786</v>
      </c>
    </row>
    <row r="34" spans="1:12" ht="11.25">
      <c r="A34" s="1" t="s">
        <v>27</v>
      </c>
      <c r="C34" s="24">
        <v>1804</v>
      </c>
      <c r="D34" s="14">
        <f>E34+252</f>
        <v>1743</v>
      </c>
      <c r="E34" s="14">
        <f>F34+486</f>
        <v>1491</v>
      </c>
      <c r="F34" s="14">
        <v>1005</v>
      </c>
      <c r="G34" s="15">
        <f>1889+H34</f>
        <v>6080</v>
      </c>
      <c r="H34" s="16">
        <f>1692+I34</f>
        <v>4191</v>
      </c>
      <c r="I34" s="16">
        <f>1325+J34</f>
        <v>2499</v>
      </c>
      <c r="J34" s="17">
        <v>1174</v>
      </c>
      <c r="K34" s="14">
        <v>5419</v>
      </c>
      <c r="L34" s="14">
        <v>10093</v>
      </c>
    </row>
    <row r="35" spans="1:12" ht="11.25">
      <c r="A35" s="1" t="s">
        <v>28</v>
      </c>
      <c r="C35" s="14">
        <f aca="true" t="shared" si="5" ref="C35:L35">C33-C34</f>
        <v>1792</v>
      </c>
      <c r="D35" s="14">
        <f t="shared" si="5"/>
        <v>1846</v>
      </c>
      <c r="E35" s="14">
        <f t="shared" si="5"/>
        <v>1397</v>
      </c>
      <c r="F35" s="14">
        <f t="shared" si="5"/>
        <v>787</v>
      </c>
      <c r="G35" s="15">
        <f t="shared" si="5"/>
        <v>4432</v>
      </c>
      <c r="H35" s="16">
        <f t="shared" si="5"/>
        <v>3608</v>
      </c>
      <c r="I35" s="16">
        <f t="shared" si="5"/>
        <v>2446</v>
      </c>
      <c r="J35" s="17">
        <f t="shared" si="5"/>
        <v>1212</v>
      </c>
      <c r="K35" s="14">
        <f t="shared" si="5"/>
        <v>5321</v>
      </c>
      <c r="L35" s="14">
        <f t="shared" si="5"/>
        <v>6693</v>
      </c>
    </row>
    <row r="36" spans="1:12" ht="11.25">
      <c r="A36" s="1" t="s">
        <v>29</v>
      </c>
      <c r="C36" s="24">
        <v>16426</v>
      </c>
      <c r="D36" s="14">
        <f>E36+10711</f>
        <v>14764</v>
      </c>
      <c r="E36" s="14">
        <f>F36+2902</f>
        <v>4053</v>
      </c>
      <c r="F36" s="14">
        <v>1151</v>
      </c>
      <c r="G36" s="15">
        <f>571+H36</f>
        <v>3003</v>
      </c>
      <c r="H36" s="16">
        <f>2117+I36</f>
        <v>2432</v>
      </c>
      <c r="I36" s="16">
        <f>143+J36</f>
        <v>315</v>
      </c>
      <c r="J36" s="17">
        <v>172</v>
      </c>
      <c r="K36" s="14">
        <v>784</v>
      </c>
      <c r="L36" s="14">
        <v>1160</v>
      </c>
    </row>
    <row r="37" spans="1:12" ht="11.25">
      <c r="A37" s="1" t="s">
        <v>30</v>
      </c>
      <c r="C37" s="14">
        <f aca="true" t="shared" si="6" ref="C37:L37">C35+C36</f>
        <v>18218</v>
      </c>
      <c r="D37" s="14">
        <f t="shared" si="6"/>
        <v>16610</v>
      </c>
      <c r="E37" s="14">
        <f t="shared" si="6"/>
        <v>5450</v>
      </c>
      <c r="F37" s="14">
        <f t="shared" si="6"/>
        <v>1938</v>
      </c>
      <c r="G37" s="15">
        <f t="shared" si="6"/>
        <v>7435</v>
      </c>
      <c r="H37" s="16">
        <f t="shared" si="6"/>
        <v>6040</v>
      </c>
      <c r="I37" s="16">
        <f t="shared" si="6"/>
        <v>2761</v>
      </c>
      <c r="J37" s="17">
        <f t="shared" si="6"/>
        <v>1384</v>
      </c>
      <c r="K37" s="14">
        <f t="shared" si="6"/>
        <v>6105</v>
      </c>
      <c r="L37" s="14">
        <f t="shared" si="6"/>
        <v>7853</v>
      </c>
    </row>
    <row r="38" spans="1:12" ht="11.25">
      <c r="A38" s="1" t="s">
        <v>31</v>
      </c>
      <c r="C38" s="24">
        <v>17366</v>
      </c>
      <c r="D38" s="14">
        <f>E38+16074</f>
        <v>16823</v>
      </c>
      <c r="E38" s="14">
        <f>F38+318</f>
        <v>749</v>
      </c>
      <c r="F38" s="14">
        <v>431</v>
      </c>
      <c r="G38" s="15">
        <f>4193+H38</f>
        <v>6991</v>
      </c>
      <c r="H38" s="16">
        <f>935+I38</f>
        <v>2798</v>
      </c>
      <c r="I38" s="16">
        <f>1007+J38</f>
        <v>1863</v>
      </c>
      <c r="J38" s="17">
        <v>856</v>
      </c>
      <c r="K38" s="14">
        <v>3181</v>
      </c>
      <c r="L38" s="14">
        <v>4091</v>
      </c>
    </row>
    <row r="39" spans="1:12" ht="11.25">
      <c r="A39" s="1" t="s">
        <v>32</v>
      </c>
      <c r="C39" s="14">
        <f aca="true" t="shared" si="7" ref="C39:L39">C37-C38</f>
        <v>852</v>
      </c>
      <c r="D39" s="48">
        <f t="shared" si="7"/>
        <v>-213</v>
      </c>
      <c r="E39" s="14">
        <f t="shared" si="7"/>
        <v>4701</v>
      </c>
      <c r="F39" s="14">
        <f t="shared" si="7"/>
        <v>1507</v>
      </c>
      <c r="G39" s="15">
        <f t="shared" si="7"/>
        <v>444</v>
      </c>
      <c r="H39" s="16">
        <f t="shared" si="7"/>
        <v>3242</v>
      </c>
      <c r="I39" s="16">
        <f t="shared" si="7"/>
        <v>898</v>
      </c>
      <c r="J39" s="17">
        <f t="shared" si="7"/>
        <v>528</v>
      </c>
      <c r="K39" s="14">
        <f t="shared" si="7"/>
        <v>2924</v>
      </c>
      <c r="L39" s="14">
        <f t="shared" si="7"/>
        <v>3762</v>
      </c>
    </row>
    <row r="40" spans="1:12" ht="11.25">
      <c r="A40" s="2" t="s">
        <v>33</v>
      </c>
      <c r="B40" s="2"/>
      <c r="C40" s="45">
        <v>-7136</v>
      </c>
      <c r="D40" s="46">
        <f>E40-6786</f>
        <v>-8200</v>
      </c>
      <c r="E40" s="46">
        <f>F40+711</f>
        <v>-1414</v>
      </c>
      <c r="F40" s="46">
        <v>-2125</v>
      </c>
      <c r="G40" s="47">
        <f>-4282+H40</f>
        <v>-6935</v>
      </c>
      <c r="H40" s="46">
        <f>-3429+I40</f>
        <v>-2653</v>
      </c>
      <c r="I40" s="18">
        <f>299+J40</f>
        <v>776</v>
      </c>
      <c r="J40" s="20">
        <v>477</v>
      </c>
      <c r="K40" s="18">
        <v>1660</v>
      </c>
      <c r="L40" s="18">
        <v>2897</v>
      </c>
    </row>
    <row r="41" spans="1:12" ht="11.25">
      <c r="A41" s="9" t="s">
        <v>34</v>
      </c>
      <c r="D41" s="14"/>
      <c r="E41" s="14"/>
      <c r="G41" s="15"/>
      <c r="H41" s="16"/>
      <c r="I41" s="16"/>
      <c r="J41" s="17"/>
      <c r="K41" s="14"/>
      <c r="L41" s="14"/>
    </row>
    <row r="42" spans="1:12" ht="11.25">
      <c r="A42" s="1" t="s">
        <v>35</v>
      </c>
      <c r="C42" s="1">
        <v>0</v>
      </c>
      <c r="D42" s="14">
        <v>1135</v>
      </c>
      <c r="E42" s="14">
        <v>2994</v>
      </c>
      <c r="F42" s="14">
        <v>5187</v>
      </c>
      <c r="G42" s="15">
        <v>9570</v>
      </c>
      <c r="H42" s="16">
        <v>4216</v>
      </c>
      <c r="I42" s="16">
        <v>7057</v>
      </c>
      <c r="J42" s="17">
        <v>7755</v>
      </c>
      <c r="K42" s="14">
        <v>4084</v>
      </c>
      <c r="L42" s="14">
        <v>4005</v>
      </c>
    </row>
    <row r="43" spans="1:12" ht="11.25">
      <c r="A43" s="1" t="s">
        <v>36</v>
      </c>
      <c r="C43" s="1">
        <v>0</v>
      </c>
      <c r="D43" s="14">
        <v>1135</v>
      </c>
      <c r="E43" s="14">
        <v>8066</v>
      </c>
      <c r="F43" s="14">
        <v>8060</v>
      </c>
      <c r="G43" s="15">
        <v>5521</v>
      </c>
      <c r="H43" s="16">
        <v>4763</v>
      </c>
      <c r="I43" s="16">
        <v>2320</v>
      </c>
      <c r="J43" s="17">
        <v>6456</v>
      </c>
      <c r="K43" s="14">
        <v>6406</v>
      </c>
      <c r="L43" s="14">
        <v>5142</v>
      </c>
    </row>
    <row r="44" spans="1:12" ht="11.25">
      <c r="A44" s="1" t="s">
        <v>37</v>
      </c>
      <c r="C44" s="25">
        <v>0</v>
      </c>
      <c r="D44" s="25">
        <f aca="true" t="shared" si="8" ref="D44:L44">D42/D13</f>
        <v>0.9956140350877193</v>
      </c>
      <c r="E44" s="25">
        <f t="shared" si="8"/>
        <v>0.07929865451848712</v>
      </c>
      <c r="F44" s="25">
        <f t="shared" si="8"/>
        <v>0.11350606153442164</v>
      </c>
      <c r="G44" s="26">
        <f t="shared" si="8"/>
        <v>0.12751329096214575</v>
      </c>
      <c r="H44" s="27">
        <f t="shared" si="8"/>
        <v>0.03975070949736472</v>
      </c>
      <c r="I44" s="27">
        <f t="shared" si="8"/>
        <v>0.08359492531302196</v>
      </c>
      <c r="J44" s="28">
        <f t="shared" si="8"/>
        <v>0.09282311540947502</v>
      </c>
      <c r="K44" s="25">
        <f t="shared" si="8"/>
        <v>0.05302381137856716</v>
      </c>
      <c r="L44" s="25">
        <f t="shared" si="8"/>
        <v>0.04490313032558974</v>
      </c>
    </row>
    <row r="45" spans="1:12" ht="11.25">
      <c r="A45" s="1" t="s">
        <v>38</v>
      </c>
      <c r="C45" s="25">
        <v>0</v>
      </c>
      <c r="D45" s="25">
        <f aca="true" t="shared" si="9" ref="D45:L45">D43/D42</f>
        <v>1</v>
      </c>
      <c r="E45" s="25">
        <f t="shared" si="9"/>
        <v>2.694054776219105</v>
      </c>
      <c r="F45" s="25">
        <f t="shared" si="9"/>
        <v>1.5538847117794485</v>
      </c>
      <c r="G45" s="26">
        <f t="shared" si="9"/>
        <v>0.5769070010449321</v>
      </c>
      <c r="H45" s="27">
        <f t="shared" si="9"/>
        <v>1.1297438330170777</v>
      </c>
      <c r="I45" s="27">
        <f t="shared" si="9"/>
        <v>0.32875159416182514</v>
      </c>
      <c r="J45" s="28">
        <f t="shared" si="9"/>
        <v>0.832495164410058</v>
      </c>
      <c r="K45" s="25">
        <f t="shared" si="9"/>
        <v>1.5685602350636632</v>
      </c>
      <c r="L45" s="25">
        <f t="shared" si="9"/>
        <v>1.2838951310861424</v>
      </c>
    </row>
    <row r="46" spans="1:12" ht="11.25">
      <c r="A46" s="2" t="s">
        <v>39</v>
      </c>
      <c r="B46" s="2"/>
      <c r="C46" s="29">
        <v>0</v>
      </c>
      <c r="D46" s="29">
        <f aca="true" t="shared" si="10" ref="D46:L46">D43/D13</f>
        <v>0.9956140350877193</v>
      </c>
      <c r="E46" s="29">
        <f t="shared" si="10"/>
        <v>0.21363491895327896</v>
      </c>
      <c r="F46" s="29">
        <f t="shared" si="10"/>
        <v>0.1763753337126351</v>
      </c>
      <c r="G46" s="30">
        <f t="shared" si="10"/>
        <v>0.07356331028234134</v>
      </c>
      <c r="H46" s="29">
        <f t="shared" si="10"/>
        <v>0.04490811891270118</v>
      </c>
      <c r="I46" s="29">
        <f t="shared" si="10"/>
        <v>0.027481964960494674</v>
      </c>
      <c r="J46" s="31">
        <f t="shared" si="10"/>
        <v>0.0772747947238647</v>
      </c>
      <c r="K46" s="29">
        <f t="shared" si="10"/>
        <v>0.08317104203993664</v>
      </c>
      <c r="L46" s="29">
        <f t="shared" si="10"/>
        <v>0.05765091039555117</v>
      </c>
    </row>
    <row r="47" spans="1:10" ht="11.25">
      <c r="A47" s="9" t="s">
        <v>40</v>
      </c>
      <c r="G47" s="21"/>
      <c r="H47" s="22"/>
      <c r="I47" s="22"/>
      <c r="J47" s="23"/>
    </row>
    <row r="48" spans="1:12" ht="11.25">
      <c r="A48" s="1" t="s">
        <v>41</v>
      </c>
      <c r="C48" s="25">
        <v>0</v>
      </c>
      <c r="D48" s="25">
        <f aca="true" t="shared" si="11" ref="D48:L48">D25/(D13+D16)</f>
        <v>7.849122807017544</v>
      </c>
      <c r="E48" s="25">
        <f t="shared" si="11"/>
        <v>0.3957641613844451</v>
      </c>
      <c r="F48" s="25">
        <f t="shared" si="11"/>
        <v>0.3132977392174856</v>
      </c>
      <c r="G48" s="26">
        <f t="shared" si="11"/>
        <v>0.22111900555763303</v>
      </c>
      <c r="H48" s="27">
        <f t="shared" si="11"/>
        <v>0.19137764760510054</v>
      </c>
      <c r="I48" s="27">
        <f t="shared" si="11"/>
        <v>0.2812068848528713</v>
      </c>
      <c r="J48" s="28">
        <f t="shared" si="11"/>
        <v>0.2797886152935013</v>
      </c>
      <c r="K48" s="25">
        <f t="shared" si="11"/>
        <v>0.2954322441369836</v>
      </c>
      <c r="L48" s="25">
        <f t="shared" si="11"/>
        <v>0.2838707507399767</v>
      </c>
    </row>
    <row r="49" spans="1:12" ht="11.25">
      <c r="A49" s="2" t="s">
        <v>42</v>
      </c>
      <c r="B49" s="2"/>
      <c r="C49" s="29">
        <v>0</v>
      </c>
      <c r="D49" s="29">
        <f aca="true" t="shared" si="12" ref="D49:L49">D25/D11</f>
        <v>0.6342950308357553</v>
      </c>
      <c r="E49" s="29">
        <f t="shared" si="12"/>
        <v>0.3036220837112368</v>
      </c>
      <c r="F49" s="29">
        <f t="shared" si="12"/>
        <v>0.21728502205829175</v>
      </c>
      <c r="G49" s="30">
        <f t="shared" si="12"/>
        <v>0.15352797400016116</v>
      </c>
      <c r="H49" s="29">
        <f t="shared" si="12"/>
        <v>0.14716444761832825</v>
      </c>
      <c r="I49" s="29">
        <f t="shared" si="12"/>
        <v>0.2316175785689003</v>
      </c>
      <c r="J49" s="31">
        <f t="shared" si="12"/>
        <v>0.23117677504352327</v>
      </c>
      <c r="K49" s="29">
        <f t="shared" si="12"/>
        <v>0.2045120698292478</v>
      </c>
      <c r="L49" s="29">
        <f t="shared" si="12"/>
        <v>0.19807704343472274</v>
      </c>
    </row>
    <row r="50" spans="1:12" ht="11.25">
      <c r="A50" s="9" t="s">
        <v>43</v>
      </c>
      <c r="F50" s="32"/>
      <c r="G50" s="33"/>
      <c r="H50" s="34"/>
      <c r="I50" s="34"/>
      <c r="J50" s="35"/>
      <c r="K50" s="32"/>
      <c r="L50" s="32"/>
    </row>
    <row r="51" spans="1:12" ht="11.25">
      <c r="A51" s="1" t="s">
        <v>44</v>
      </c>
      <c r="C51" s="32">
        <f aca="true" t="shared" si="13" ref="C51:L51">C12/C17</f>
        <v>4.828352180936995</v>
      </c>
      <c r="D51" s="32">
        <f t="shared" si="13"/>
        <v>3.7959916242895604</v>
      </c>
      <c r="E51" s="32">
        <f t="shared" si="13"/>
        <v>0.36269249225668543</v>
      </c>
      <c r="F51" s="32">
        <f t="shared" si="13"/>
        <v>0.4242106034335393</v>
      </c>
      <c r="G51" s="33">
        <f t="shared" si="13"/>
        <v>0.38258229424816076</v>
      </c>
      <c r="H51" s="34">
        <f t="shared" si="13"/>
        <v>0.24245250865517426</v>
      </c>
      <c r="I51" s="34">
        <f t="shared" si="13"/>
        <v>0.17511038039803237</v>
      </c>
      <c r="J51" s="35">
        <f t="shared" si="13"/>
        <v>0.1768031161672268</v>
      </c>
      <c r="K51" s="32">
        <f t="shared" si="13"/>
        <v>0.3441461054668602</v>
      </c>
      <c r="L51" s="32">
        <f t="shared" si="13"/>
        <v>0.3961160923909398</v>
      </c>
    </row>
    <row r="52" spans="1:12" ht="11.25">
      <c r="A52" s="1" t="s">
        <v>45</v>
      </c>
      <c r="C52" s="32">
        <f aca="true" t="shared" si="14" ref="C52:L52">C12/C11</f>
        <v>0.9366920003134059</v>
      </c>
      <c r="D52" s="32">
        <f t="shared" si="14"/>
        <v>0.899553413199121</v>
      </c>
      <c r="E52" s="32">
        <f t="shared" si="14"/>
        <v>0.16043688852009802</v>
      </c>
      <c r="F52" s="32">
        <f t="shared" si="14"/>
        <v>0.2512620235770594</v>
      </c>
      <c r="G52" s="33">
        <f t="shared" si="14"/>
        <v>0.2639914766368528</v>
      </c>
      <c r="H52" s="34">
        <f t="shared" si="14"/>
        <v>0.1856172708108739</v>
      </c>
      <c r="I52" s="34">
        <f t="shared" si="14"/>
        <v>0.12301831256170942</v>
      </c>
      <c r="J52" s="35">
        <f t="shared" si="14"/>
        <v>0.11831741401213947</v>
      </c>
      <c r="K52" s="32">
        <f t="shared" si="14"/>
        <v>0.24160036680733274</v>
      </c>
      <c r="L52" s="32">
        <f t="shared" si="14"/>
        <v>0.2771858179997497</v>
      </c>
    </row>
    <row r="53" spans="1:12" ht="11.25">
      <c r="A53" s="2" t="s">
        <v>46</v>
      </c>
      <c r="B53" s="2"/>
      <c r="C53" s="36">
        <f aca="true" t="shared" si="15" ref="C53:L53">(C12+C16)/C17</f>
        <v>4.828352180936995</v>
      </c>
      <c r="D53" s="36">
        <f t="shared" si="15"/>
        <v>3.7959916242895604</v>
      </c>
      <c r="E53" s="36">
        <f t="shared" si="15"/>
        <v>0.4499411071849234</v>
      </c>
      <c r="F53" s="36">
        <f t="shared" si="15"/>
        <v>0.47915700017094437</v>
      </c>
      <c r="G53" s="37">
        <f t="shared" si="15"/>
        <v>0.41501991670018556</v>
      </c>
      <c r="H53" s="36">
        <f t="shared" si="15"/>
        <v>0.29561231994546794</v>
      </c>
      <c r="I53" s="36">
        <f t="shared" si="15"/>
        <v>0.22823881942695004</v>
      </c>
      <c r="J53" s="38">
        <f t="shared" si="15"/>
        <v>0.23665152644382884</v>
      </c>
      <c r="K53" s="36">
        <f t="shared" si="15"/>
        <v>0.39864537977745523</v>
      </c>
      <c r="L53" s="36">
        <f t="shared" si="15"/>
        <v>0.3961160923909398</v>
      </c>
    </row>
    <row r="54" spans="1:10" ht="11.25">
      <c r="A54" s="9" t="s">
        <v>47</v>
      </c>
      <c r="G54" s="21"/>
      <c r="H54" s="22"/>
      <c r="I54" s="22"/>
      <c r="J54" s="23"/>
    </row>
    <row r="55" spans="1:12" ht="11.25">
      <c r="A55" s="1" t="s">
        <v>48</v>
      </c>
      <c r="B55" s="22"/>
      <c r="C55" s="39">
        <f>C40/C28</f>
        <v>-0.18403373264045597</v>
      </c>
      <c r="D55" s="39">
        <f>(D40/0.75)/D28</f>
        <v>-0.19329137496169532</v>
      </c>
      <c r="E55" s="25">
        <f>(E40/0.5)/E28</f>
        <v>-0.044124760106723254</v>
      </c>
      <c r="F55" s="25">
        <f>((F40)/0.25)/F28</f>
        <v>-0.1252302025782689</v>
      </c>
      <c r="G55" s="40">
        <f>G40/G28</f>
        <v>-0.0871893838910227</v>
      </c>
      <c r="H55" s="39">
        <f>(H40/0.75)/H28</f>
        <v>-0.033920354929910614</v>
      </c>
      <c r="I55" s="39">
        <f>(I40/0.5)/I28</f>
        <v>0.018302534287769616</v>
      </c>
      <c r="J55" s="28">
        <f>((J40)/0.25)/J28</f>
        <v>0.02196992377311563</v>
      </c>
      <c r="K55" s="25">
        <f>K40/K28</f>
        <v>0.01944704779756326</v>
      </c>
      <c r="L55" s="25">
        <f>L40/L28</f>
        <v>0.020703134770475345</v>
      </c>
    </row>
    <row r="56" spans="1:12" ht="11.25">
      <c r="A56" s="1" t="s">
        <v>49</v>
      </c>
      <c r="B56" s="22"/>
      <c r="C56" s="39">
        <f>C40/C27</f>
        <v>-0.11467506588673909</v>
      </c>
      <c r="D56" s="39">
        <f>(D40/0.75)/D27</f>
        <v>-0.13688911147281</v>
      </c>
      <c r="E56" s="25">
        <f>(E40/0.5)/E27</f>
        <v>-0.0355323252439078</v>
      </c>
      <c r="F56" s="25">
        <f>((F40)/0.25)/F27</f>
        <v>-0.09692132269099202</v>
      </c>
      <c r="G56" s="40">
        <f>G40/G27</f>
        <v>-0.060444684615585755</v>
      </c>
      <c r="H56" s="39">
        <f>(H40/0.75)/H27</f>
        <v>-0.022406053772839944</v>
      </c>
      <c r="I56" s="39">
        <f>(I40/0.5)/I27</f>
        <v>0.014367510171586212</v>
      </c>
      <c r="J56" s="28">
        <f>((J40)/0.25)/J27</f>
        <v>0.0171385455590687</v>
      </c>
      <c r="K56" s="25">
        <f>K40/K27</f>
        <v>0.013518080432578574</v>
      </c>
      <c r="L56" s="25">
        <f>L40/L27</f>
        <v>0.014372534914295637</v>
      </c>
    </row>
    <row r="57" spans="1:12" ht="11.25">
      <c r="A57" s="1" t="s">
        <v>50</v>
      </c>
      <c r="B57" s="22"/>
      <c r="C57" s="39">
        <f>+C40/C31</f>
        <v>-0.525478645066274</v>
      </c>
      <c r="D57" s="39">
        <f>(D40/0.75)/D31</f>
        <v>-0.7197717796796138</v>
      </c>
      <c r="E57" s="25">
        <f>(E40/0.5)/E31</f>
        <v>-0.1393103448275862</v>
      </c>
      <c r="F57" s="25">
        <f>((F40)/0.25)/F31</f>
        <v>-0.42942305749216936</v>
      </c>
      <c r="G57" s="40">
        <f>+G40/G31</f>
        <v>-0.3363728961536596</v>
      </c>
      <c r="H57" s="39">
        <f>(H40/0.75)/H31</f>
        <v>-0.15325404905804793</v>
      </c>
      <c r="I57" s="39">
        <f>(I40/0.5)/I31</f>
        <v>0.06326817635188847</v>
      </c>
      <c r="J57" s="28">
        <f>((J40)/0.25)/J31</f>
        <v>0.07942388544311701</v>
      </c>
      <c r="K57" s="25">
        <f>K40/K31</f>
        <v>0.06719967614613906</v>
      </c>
      <c r="L57" s="25">
        <f>L40/L31</f>
        <v>0.11429811410084431</v>
      </c>
    </row>
    <row r="58" spans="1:12" ht="11.25">
      <c r="A58" s="1" t="s">
        <v>51</v>
      </c>
      <c r="B58" s="22"/>
      <c r="C58" s="39">
        <f>C33/C28</f>
        <v>0.09273897177341363</v>
      </c>
      <c r="D58" s="39">
        <f>(D33/0.75)/D28</f>
        <v>0.08460033472408834</v>
      </c>
      <c r="E58" s="25">
        <f>(E33/0.5)/E28</f>
        <v>0.09012185798318016</v>
      </c>
      <c r="F58" s="25">
        <f>((F33)/0.25)/F28</f>
        <v>0.10560589318600368</v>
      </c>
      <c r="G58" s="40">
        <f>G33/G28</f>
        <v>0.13216075031902388</v>
      </c>
      <c r="H58" s="39">
        <f>(H33/0.75)/H28</f>
        <v>0.09971535925306176</v>
      </c>
      <c r="I58" s="39">
        <f>(I33/0.5)/I28</f>
        <v>0.11663148460440817</v>
      </c>
      <c r="J58" s="28">
        <f>((J33)/0.25)/J28</f>
        <v>0.10989567740598301</v>
      </c>
      <c r="K58" s="25">
        <f>K33/K28</f>
        <v>0.12582005623242737</v>
      </c>
      <c r="L58" s="25">
        <f>L33/L27</f>
        <v>0.08327834693523181</v>
      </c>
    </row>
    <row r="59" spans="1:12" ht="11.25">
      <c r="A59" s="1" t="s">
        <v>52</v>
      </c>
      <c r="B59" s="22"/>
      <c r="C59" s="39">
        <f>C34/C28</f>
        <v>0.04652422276953231</v>
      </c>
      <c r="D59" s="39">
        <f>(D34/0.75)/D28</f>
        <v>0.041086203238809134</v>
      </c>
      <c r="E59" s="25">
        <f>(E34/0.5)/E28</f>
        <v>0.04652759357788145</v>
      </c>
      <c r="F59" s="25">
        <f>((F34)/0.25)/F28</f>
        <v>0.05922651933701657</v>
      </c>
      <c r="G59" s="40">
        <f>G34/G28</f>
        <v>0.07644000779486922</v>
      </c>
      <c r="H59" s="39">
        <f>(H34/0.75)/H28</f>
        <v>0.05358469940115167</v>
      </c>
      <c r="I59" s="39">
        <f>(I34/0.5)/I28</f>
        <v>0.058940764413835396</v>
      </c>
      <c r="J59" s="28">
        <f>((J34)/0.25)/J28</f>
        <v>0.05407272643529926</v>
      </c>
      <c r="K59" s="25">
        <f>K34/K28</f>
        <v>0.06348406747891285</v>
      </c>
      <c r="L59" s="25">
        <f>L34/L27</f>
        <v>0.05007317738694714</v>
      </c>
    </row>
    <row r="60" spans="1:12" ht="11.25">
      <c r="A60" s="1" t="s">
        <v>53</v>
      </c>
      <c r="B60" s="22"/>
      <c r="C60" s="39">
        <f>C35/C28</f>
        <v>0.04621474900388132</v>
      </c>
      <c r="D60" s="39">
        <f>(D35/0.75)/D28</f>
        <v>0.04351413148527922</v>
      </c>
      <c r="E60" s="25">
        <f>(E35/0.5)/E28</f>
        <v>0.04359426440529872</v>
      </c>
      <c r="F60" s="25">
        <f>((F35)/0.25)/F28</f>
        <v>0.04637937384898711</v>
      </c>
      <c r="G60" s="40">
        <f>G35/G28</f>
        <v>0.05572074252415467</v>
      </c>
      <c r="H60" s="39">
        <f>(H35/0.75)/H28</f>
        <v>0.0461306598519101</v>
      </c>
      <c r="I60" s="39">
        <f>(I35/0.5)/I28</f>
        <v>0.05769072019057278</v>
      </c>
      <c r="J60" s="28">
        <f>((J35)/0.25)/J28</f>
        <v>0.05582295097068374</v>
      </c>
      <c r="K60" s="25">
        <f>K35/K28</f>
        <v>0.062335988753514524</v>
      </c>
      <c r="L60" s="25">
        <f>L35/L27</f>
        <v>0.033205169548284674</v>
      </c>
    </row>
    <row r="61" spans="1:12" ht="11.25">
      <c r="A61" s="1" t="s">
        <v>54</v>
      </c>
      <c r="B61" s="22"/>
      <c r="C61" s="39">
        <f>C38/C37</f>
        <v>0.9532330661982654</v>
      </c>
      <c r="D61" s="39">
        <f>(D38/0.75)/(D37/0.75)</f>
        <v>1.0128236002408189</v>
      </c>
      <c r="E61" s="25">
        <f>(E38/0.5)/(E37/0.5)</f>
        <v>0.13743119266055046</v>
      </c>
      <c r="F61" s="25">
        <f>(F38/0.25)/(F37/0.25)</f>
        <v>0.22239422084623323</v>
      </c>
      <c r="G61" s="40">
        <f>G38/G37</f>
        <v>0.9402824478816408</v>
      </c>
      <c r="H61" s="39">
        <f>(H38/0.75)/(H37/0.75)</f>
        <v>0.4632450331125828</v>
      </c>
      <c r="I61" s="39">
        <f>(I38/0.5)/(I37/0.5)</f>
        <v>0.674755523361101</v>
      </c>
      <c r="J61" s="28">
        <f>(J38/0.25)/(J37/0.25)</f>
        <v>0.6184971098265896</v>
      </c>
      <c r="K61" s="25">
        <f>K38/K37</f>
        <v>0.521048321048321</v>
      </c>
      <c r="L61" s="25">
        <f>L38/L37</f>
        <v>0.5209474086336432</v>
      </c>
    </row>
    <row r="62" spans="1:12" ht="11.25">
      <c r="A62" s="2" t="s">
        <v>55</v>
      </c>
      <c r="B62" s="2"/>
      <c r="C62" s="41">
        <f>C36/C28</f>
        <v>0.4236180062152648</v>
      </c>
      <c r="D62" s="41">
        <f>(D36/0.75)/D28</f>
        <v>0.3480187634066426</v>
      </c>
      <c r="E62" s="29">
        <f>(E36/0.5)/E28</f>
        <v>0.12647641634550874</v>
      </c>
      <c r="F62" s="29">
        <f>(F36/0.25)/F28</f>
        <v>0.06783057090239411</v>
      </c>
      <c r="G62" s="42">
        <f>G36/G28</f>
        <v>0.03775482621841978</v>
      </c>
      <c r="H62" s="41">
        <f>(H36/0.75)/H28</f>
        <v>0.031094724157385074</v>
      </c>
      <c r="I62" s="41">
        <f>(I36/0.5)/I28</f>
        <v>0.007429508119391016</v>
      </c>
      <c r="J62" s="31">
        <f>(J36/0.25)/J28</f>
        <v>0.007922068949634986</v>
      </c>
      <c r="K62" s="29">
        <f>K36/K28</f>
        <v>0.009184629803186505</v>
      </c>
      <c r="L62" s="29">
        <f>L36/L27</f>
        <v>0.005754967380249548</v>
      </c>
    </row>
    <row r="63" spans="1:10" ht="11.25">
      <c r="A63" s="9" t="s">
        <v>56</v>
      </c>
      <c r="G63" s="21"/>
      <c r="H63" s="22"/>
      <c r="I63" s="22"/>
      <c r="J63" s="23"/>
    </row>
    <row r="64" spans="1:12" ht="11.25">
      <c r="A64" s="1" t="s">
        <v>57</v>
      </c>
      <c r="C64" s="1">
        <v>1</v>
      </c>
      <c r="D64" s="14">
        <v>5</v>
      </c>
      <c r="E64" s="14">
        <v>11</v>
      </c>
      <c r="F64" s="14">
        <v>10</v>
      </c>
      <c r="G64" s="15">
        <v>17</v>
      </c>
      <c r="H64" s="16">
        <v>30</v>
      </c>
      <c r="I64" s="16">
        <v>30</v>
      </c>
      <c r="J64" s="17">
        <v>29</v>
      </c>
      <c r="K64" s="14">
        <v>27</v>
      </c>
      <c r="L64" s="14">
        <v>33</v>
      </c>
    </row>
    <row r="65" spans="1:12" ht="11.25">
      <c r="A65" s="1" t="s">
        <v>58</v>
      </c>
      <c r="C65" s="1">
        <v>1</v>
      </c>
      <c r="D65" s="14">
        <v>1</v>
      </c>
      <c r="E65" s="14">
        <v>2</v>
      </c>
      <c r="F65" s="14">
        <v>2</v>
      </c>
      <c r="G65" s="15">
        <v>2</v>
      </c>
      <c r="H65" s="16">
        <v>2</v>
      </c>
      <c r="I65" s="16">
        <v>2</v>
      </c>
      <c r="J65" s="17">
        <v>2</v>
      </c>
      <c r="K65" s="14">
        <v>2</v>
      </c>
      <c r="L65" s="14">
        <v>2</v>
      </c>
    </row>
    <row r="66" spans="1:12" ht="11.25">
      <c r="A66" s="1" t="s">
        <v>59</v>
      </c>
      <c r="C66" s="14">
        <f aca="true" t="shared" si="16" ref="C66:L66">C13/C64</f>
        <v>0</v>
      </c>
      <c r="D66" s="14">
        <f t="shared" si="16"/>
        <v>228</v>
      </c>
      <c r="E66" s="14">
        <f t="shared" si="16"/>
        <v>3432.3636363636365</v>
      </c>
      <c r="F66" s="14">
        <f t="shared" si="16"/>
        <v>4569.8</v>
      </c>
      <c r="G66" s="15">
        <f t="shared" si="16"/>
        <v>4414.764705882353</v>
      </c>
      <c r="H66" s="16">
        <f t="shared" si="16"/>
        <v>3535.366666666667</v>
      </c>
      <c r="I66" s="16">
        <f t="shared" si="16"/>
        <v>2813.9666666666667</v>
      </c>
      <c r="J66" s="17">
        <f t="shared" si="16"/>
        <v>2880.896551724138</v>
      </c>
      <c r="K66" s="14">
        <f t="shared" si="16"/>
        <v>2852.6666666666665</v>
      </c>
      <c r="L66" s="14">
        <f t="shared" si="16"/>
        <v>2702.787878787879</v>
      </c>
    </row>
    <row r="67" spans="1:12" ht="11.25">
      <c r="A67" s="1" t="s">
        <v>60</v>
      </c>
      <c r="C67" s="14">
        <f aca="true" t="shared" si="17" ref="C67:L67">C17/C64</f>
        <v>2476</v>
      </c>
      <c r="D67" s="14">
        <f t="shared" si="17"/>
        <v>668.6</v>
      </c>
      <c r="E67" s="14">
        <f t="shared" si="17"/>
        <v>2083.909090909091</v>
      </c>
      <c r="F67" s="14">
        <f t="shared" si="17"/>
        <v>4094.9</v>
      </c>
      <c r="G67" s="15">
        <f t="shared" si="17"/>
        <v>4533.588235294118</v>
      </c>
      <c r="H67" s="16">
        <f t="shared" si="17"/>
        <v>3716.4666666666667</v>
      </c>
      <c r="I67" s="16">
        <f t="shared" si="17"/>
        <v>2514.0333333333333</v>
      </c>
      <c r="J67" s="17">
        <f t="shared" si="17"/>
        <v>2452.1724137931033</v>
      </c>
      <c r="K67" s="14">
        <f t="shared" si="17"/>
        <v>3062.222222222222</v>
      </c>
      <c r="L67" s="14">
        <f t="shared" si="17"/>
        <v>2710.4848484848485</v>
      </c>
    </row>
    <row r="68" spans="1:12" ht="11.25">
      <c r="A68" s="2" t="s">
        <v>61</v>
      </c>
      <c r="B68" s="2"/>
      <c r="C68" s="46">
        <f aca="true" t="shared" si="18" ref="C68:L68">(C40/C64)</f>
        <v>-7136</v>
      </c>
      <c r="D68" s="46">
        <f t="shared" si="18"/>
        <v>-1640</v>
      </c>
      <c r="E68" s="46">
        <f t="shared" si="18"/>
        <v>-128.54545454545453</v>
      </c>
      <c r="F68" s="46">
        <f t="shared" si="18"/>
        <v>-212.5</v>
      </c>
      <c r="G68" s="47">
        <f t="shared" si="18"/>
        <v>-407.94117647058823</v>
      </c>
      <c r="H68" s="46">
        <f t="shared" si="18"/>
        <v>-88.43333333333334</v>
      </c>
      <c r="I68" s="18">
        <f t="shared" si="18"/>
        <v>25.866666666666667</v>
      </c>
      <c r="J68" s="20">
        <f t="shared" si="18"/>
        <v>16.448275862068964</v>
      </c>
      <c r="K68" s="18">
        <f t="shared" si="18"/>
        <v>61.48148148148148</v>
      </c>
      <c r="L68" s="18">
        <f t="shared" si="18"/>
        <v>87.78787878787878</v>
      </c>
    </row>
    <row r="69" spans="1:10" ht="11.25">
      <c r="A69" s="9" t="s">
        <v>62</v>
      </c>
      <c r="G69" s="21"/>
      <c r="H69" s="22"/>
      <c r="I69" s="22"/>
      <c r="J69" s="23"/>
    </row>
    <row r="70" spans="1:12" ht="11.25">
      <c r="A70" s="1" t="s">
        <v>63</v>
      </c>
      <c r="C70" s="25">
        <f>(C11/G11)-1</f>
        <v>-0.8857314245297377</v>
      </c>
      <c r="D70" s="25">
        <f>(D11/H11)-1</f>
        <v>-0.9031332184326355</v>
      </c>
      <c r="E70" s="25">
        <f>(E11/I11)-1</f>
        <v>-0.5173065817172451</v>
      </c>
      <c r="F70" s="25">
        <f>(F11/J11)-1</f>
        <v>-0.34940949513009933</v>
      </c>
      <c r="G70" s="26">
        <f>(G11/170115)-1</f>
        <v>-0.34342650559915355</v>
      </c>
      <c r="H70" s="27">
        <f>(H11/560622)-1</f>
        <v>-0.7402296021205019</v>
      </c>
      <c r="I70" s="27">
        <f>(I11/108685)-1</f>
        <v>-0.012209596540460943</v>
      </c>
      <c r="J70" s="28">
        <f>(J11/116391)-1</f>
        <v>-0.08699985394059673</v>
      </c>
      <c r="K70" s="25">
        <f>(K11/L11)-1</f>
        <v>-0.07863155588934789</v>
      </c>
      <c r="L70" s="25">
        <f>(L11/275306)-1</f>
        <v>-0.5357020914909228</v>
      </c>
    </row>
    <row r="71" spans="1:12" ht="11.25">
      <c r="A71" s="1" t="s">
        <v>64</v>
      </c>
      <c r="C71" s="25">
        <f aca="true" t="shared" si="19" ref="C71:E73">(C13/G13)-1</f>
        <v>-1</v>
      </c>
      <c r="D71" s="25">
        <f t="shared" si="19"/>
        <v>-0.9892514684945456</v>
      </c>
      <c r="E71" s="25">
        <f t="shared" si="19"/>
        <v>-0.552754711617053</v>
      </c>
      <c r="F71" s="25">
        <f>F13/J13-1</f>
        <v>-0.4530198932324707</v>
      </c>
      <c r="G71" s="26">
        <f>(G13/K13)-1</f>
        <v>-0.025590091142790317</v>
      </c>
      <c r="H71" s="27">
        <f>H13/92225-1</f>
        <v>0.15002439685551638</v>
      </c>
      <c r="I71" s="27">
        <f>I13/76814-1</f>
        <v>0.09900538964251315</v>
      </c>
      <c r="J71" s="28">
        <f>J13/85890-1</f>
        <v>-0.027290720689253645</v>
      </c>
      <c r="K71" s="25">
        <f>(K13/L13)-1</f>
        <v>-0.13644721499686074</v>
      </c>
      <c r="L71" s="25">
        <f>L13/190669-1</f>
        <v>-0.532215514845098</v>
      </c>
    </row>
    <row r="72" spans="2:12" ht="11.25">
      <c r="B72" s="1" t="s">
        <v>15</v>
      </c>
      <c r="C72" s="25">
        <f t="shared" si="19"/>
        <v>-1</v>
      </c>
      <c r="D72" s="25">
        <f t="shared" si="19"/>
        <v>-0.9847426322974384</v>
      </c>
      <c r="E72" s="25">
        <f t="shared" si="19"/>
        <v>-0.7229783716765394</v>
      </c>
      <c r="F72" s="25">
        <f>(F14/J14)-1</f>
        <v>-0.6552788918140886</v>
      </c>
      <c r="G72" s="26">
        <f>(G14/K14)-1</f>
        <v>-0.36090627337821957</v>
      </c>
      <c r="H72" s="27">
        <f>(H14/87620)-1</f>
        <v>-0.1472494864186259</v>
      </c>
      <c r="I72" s="27">
        <f>(I14/70990)-1</f>
        <v>0.022538385688125162</v>
      </c>
      <c r="J72" s="28">
        <f>(J14/72370)-1</f>
        <v>0.12320022108608542</v>
      </c>
      <c r="K72" s="25">
        <f>(K14/L14)-1</f>
        <v>0.09090909090909083</v>
      </c>
      <c r="L72" s="25">
        <f>(L14/94964)-1</f>
        <v>-0.2774314477064993</v>
      </c>
    </row>
    <row r="73" spans="2:12" ht="11.25">
      <c r="B73" s="1" t="s">
        <v>16</v>
      </c>
      <c r="C73" s="25">
        <f t="shared" si="19"/>
        <v>-1</v>
      </c>
      <c r="D73" s="25">
        <f t="shared" si="19"/>
        <v>-1</v>
      </c>
      <c r="E73" s="25">
        <f t="shared" si="19"/>
        <v>0.49184208301631593</v>
      </c>
      <c r="F73" s="25">
        <f>(F15/J15)-1</f>
        <v>6.821681415929204</v>
      </c>
      <c r="G73" s="26">
        <f>(G15/K15)-1</f>
        <v>11.562788550323177</v>
      </c>
      <c r="H73" s="27">
        <f>(H15/4604)-1</f>
        <v>5.807775847089488</v>
      </c>
      <c r="I73" s="27">
        <f>(I15/5824)-1</f>
        <v>1.0310782967032965</v>
      </c>
      <c r="J73" s="28">
        <f>(J15/13520)-1</f>
        <v>-0.8328402366863905</v>
      </c>
      <c r="K73" s="25">
        <f>(K15/L15)-1</f>
        <v>-0.89472149314669</v>
      </c>
      <c r="L73" s="25">
        <f>(L15/95704)-1</f>
        <v>-0.7850246593663797</v>
      </c>
    </row>
    <row r="74" spans="1:12" ht="11.25">
      <c r="A74" s="1" t="s">
        <v>65</v>
      </c>
      <c r="C74" s="25">
        <f aca="true" t="shared" si="20" ref="C74:G75">(C17/G17)-1</f>
        <v>-0.9678737787235147</v>
      </c>
      <c r="D74" s="25">
        <f t="shared" si="20"/>
        <v>-0.9700163237483631</v>
      </c>
      <c r="E74" s="25">
        <f t="shared" si="20"/>
        <v>-0.696066082390846</v>
      </c>
      <c r="F74" s="25">
        <f t="shared" si="20"/>
        <v>-0.424169982984827</v>
      </c>
      <c r="G74" s="26">
        <f t="shared" si="20"/>
        <v>-0.06783986453797775</v>
      </c>
      <c r="H74" s="27">
        <f>H17/136423-1</f>
        <v>-0.1827331168497981</v>
      </c>
      <c r="I74" s="27">
        <f>I17/74361-1</f>
        <v>0.014254784093812534</v>
      </c>
      <c r="J74" s="28">
        <f>J17/83583-1</f>
        <v>-0.14919301771891413</v>
      </c>
      <c r="K74" s="25">
        <f>(K17/L17)-1</f>
        <v>-0.0756434049594169</v>
      </c>
      <c r="L74" s="25">
        <f>L17/238758-1</f>
        <v>-0.6253696211226429</v>
      </c>
    </row>
    <row r="75" spans="2:12" ht="11.25">
      <c r="B75" s="1" t="s">
        <v>15</v>
      </c>
      <c r="C75" s="25">
        <f t="shared" si="20"/>
        <v>-0.9623953684285996</v>
      </c>
      <c r="D75" s="25">
        <f t="shared" si="20"/>
        <v>-0.9658891751061552</v>
      </c>
      <c r="E75" s="25">
        <f t="shared" si="20"/>
        <v>-0.476588158018204</v>
      </c>
      <c r="F75" s="25">
        <f t="shared" si="20"/>
        <v>-0.1218635289385025</v>
      </c>
      <c r="G75" s="26">
        <f t="shared" si="20"/>
        <v>0.10230573172900237</v>
      </c>
      <c r="H75" s="27">
        <f>(H18/127399)-1</f>
        <v>-0.3326713710468685</v>
      </c>
      <c r="I75" s="27">
        <f>(I18/45231)-1</f>
        <v>-0.05754902611041102</v>
      </c>
      <c r="J75" s="28">
        <f>(J18/49089)-1</f>
        <v>-0.18975737945364546</v>
      </c>
      <c r="K75" s="25">
        <f>(K18/L18)-1</f>
        <v>-0.04287065052950079</v>
      </c>
      <c r="L75" s="25">
        <f>(L18/50141)-1</f>
        <v>0.05462595480744303</v>
      </c>
    </row>
    <row r="76" spans="2:12" ht="11.25">
      <c r="B76" s="1" t="s">
        <v>16</v>
      </c>
      <c r="C76" s="25">
        <f>(C22/G22)-1</f>
        <v>-0.9822368421052632</v>
      </c>
      <c r="D76" s="25">
        <f>(D22/H22)-1</f>
        <v>-0.9832684971862371</v>
      </c>
      <c r="E76" s="25">
        <f>(E22/I22)-1</f>
        <v>-0.9813679748726862</v>
      </c>
      <c r="F76" s="25">
        <f>(F22/J22)-1</f>
        <v>-0.807843262388717</v>
      </c>
      <c r="G76" s="26">
        <f>(G22/K22)-1</f>
        <v>-0.3363894346212617</v>
      </c>
      <c r="H76" s="27">
        <f>(H22/9024)-1</f>
        <v>1.9340647163120566</v>
      </c>
      <c r="I76" s="27">
        <f>(I22/29130)-1</f>
        <v>0.12574665293511833</v>
      </c>
      <c r="J76" s="28">
        <f>(J22/34494)-1</f>
        <v>-0.09146518235055368</v>
      </c>
      <c r="K76" s="25">
        <f>(K22/L22)-1</f>
        <v>-0.12303779467264675</v>
      </c>
      <c r="L76" s="25">
        <f>(L22/188617)-1</f>
        <v>-0.8061362443470101</v>
      </c>
    </row>
    <row r="77" spans="1:12" ht="11.25">
      <c r="A77" s="1" t="s">
        <v>66</v>
      </c>
      <c r="C77" s="25">
        <f>(C25/G25)-1</f>
        <v>-0.4161418241194308</v>
      </c>
      <c r="D77" s="25">
        <f>(D25/H25)-1</f>
        <v>-0.5824934677118327</v>
      </c>
      <c r="E77" s="25">
        <f>(E25/I25)-1</f>
        <v>-0.367248451701118</v>
      </c>
      <c r="F77" s="25">
        <f>(F25/J25)-1</f>
        <v>-0.38850443702678494</v>
      </c>
      <c r="G77" s="26">
        <f>(G25/K25)-1</f>
        <v>-0.2880511500456697</v>
      </c>
      <c r="H77" s="27">
        <f>(H25/24731)-1</f>
        <v>-0.13339533379159763</v>
      </c>
      <c r="I77" s="27">
        <f>(I25/23480)-1</f>
        <v>0.059028960817717246</v>
      </c>
      <c r="J77" s="28">
        <f>(J25/23480)-1</f>
        <v>0.046252129471890946</v>
      </c>
      <c r="K77" s="25">
        <f>(K25/L25)-1</f>
        <v>-0.04869860579011809</v>
      </c>
      <c r="L77" s="25">
        <f>(L25/25373)-1</f>
        <v>-0.0021282465613052803</v>
      </c>
    </row>
    <row r="78" spans="1:12" ht="11.25">
      <c r="A78" s="2" t="s">
        <v>67</v>
      </c>
      <c r="B78" s="2"/>
      <c r="C78" s="29">
        <f>(C40/G40)-1</f>
        <v>0.02898341744772881</v>
      </c>
      <c r="D78" s="29">
        <f>(D40/H40)-1</f>
        <v>2.0908405578590274</v>
      </c>
      <c r="E78" s="29">
        <f>(E40/I40)-1</f>
        <v>-2.822164948453608</v>
      </c>
      <c r="F78" s="29">
        <f>(F40/J40)-1</f>
        <v>-5.454926624737945</v>
      </c>
      <c r="G78" s="30">
        <f>(G40/K40)-1</f>
        <v>-5.177710843373494</v>
      </c>
      <c r="H78" s="29">
        <f>(H40/2305)-1</f>
        <v>-2.1509761388286335</v>
      </c>
      <c r="I78" s="29">
        <f>(I40/1769)-1</f>
        <v>-0.5613340870548332</v>
      </c>
      <c r="J78" s="31">
        <f>(J40/1058)-1</f>
        <v>-0.5491493383742911</v>
      </c>
      <c r="K78" s="29">
        <f>(K40/L40)-1</f>
        <v>-0.4269934414911978</v>
      </c>
      <c r="L78" s="29">
        <f>(L40/3095)-1</f>
        <v>-0.06397415185783517</v>
      </c>
    </row>
    <row r="80" ht="11.25">
      <c r="A80" s="1" t="s">
        <v>68</v>
      </c>
    </row>
    <row r="81" ht="11.25">
      <c r="A81" s="1" t="s">
        <v>69</v>
      </c>
    </row>
  </sheetData>
  <sheetProtection password="CD66" sheet="1" objects="1" scenarios="1"/>
  <mergeCells count="7">
    <mergeCell ref="K8:L8"/>
    <mergeCell ref="C8:F8"/>
    <mergeCell ref="C4:I4"/>
    <mergeCell ref="C3:I3"/>
    <mergeCell ref="C2:I2"/>
    <mergeCell ref="C5:I5"/>
    <mergeCell ref="G8:J8"/>
  </mergeCells>
  <printOptions horizontalCentered="1" verticalCentered="1"/>
  <pageMargins left="0.75" right="0.75" top="1" bottom="1" header="0" footer="0"/>
  <pageSetup horizontalDpi="300" verticalDpi="300" orientation="portrait" r:id="rId3"/>
  <legacyDrawing r:id="rId2"/>
  <oleObjects>
    <oleObject progId="MSPhotoEd.3" shapeId="4550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2002-03-19T20:24:19Z</dcterms:created>
  <dcterms:modified xsi:type="dcterms:W3CDTF">2002-07-12T14:02:48Z</dcterms:modified>
  <cp:category/>
  <cp:version/>
  <cp:contentType/>
  <cp:contentStatus/>
</cp:coreProperties>
</file>