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ancolombia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<sst xmlns="http://schemas.openxmlformats.org/spreadsheetml/2006/main" count="84" uniqueCount="68">
  <si>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No. 18-30</t>
  </si>
  <si>
    <t>BANCOLOMBIA (PANAMA), S.A.</t>
  </si>
  <si>
    <t>ESTADISTICA FINANCIERA. AÑO  1999, TRIMESTRES DE 2000 Y 2001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</si>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</sst>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_(* #,##0.0_);_(* \(#,##0.0\);_(* &quot;-&quot;??_);_(@_)"/>
    <numFmt numFmtId="189" formatCode="_(* #,##0_);_(* \(#,##0\);_(* &quot;-&quot;??_);_(@_)"/>
    <numFmt numFmtId="190" formatCode="_(* #,##0.000_);_(* \(#,##0.000\);_(* &quot;-&quot;??_);_(@_)"/>
    <numFmt numFmtId="191" formatCode="0.0%"/>
    <numFmt numFmtId="192" formatCode="_(* #,##0.0000_);_(* \(#,##0.0000\);_(* &quot;-&quot;??_);_(@_)"/>
    <numFmt numFmtId="193" formatCode="0.00000"/>
    <numFmt numFmtId="194" formatCode="0.0000"/>
    <numFmt numFmtId="195" formatCode="0.000"/>
    <numFmt numFmtId="196" formatCode="0.0"/>
    <numFmt numFmtId="197" formatCode="0000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189" fontId="1" fillId="0" borderId="6" xfId="15" applyNumberFormat="1" applyFont="1" applyBorder="1" applyAlignment="1">
      <alignment/>
    </xf>
    <xf numFmtId="189" fontId="1" fillId="0" borderId="0" xfId="15" applyNumberFormat="1" applyFont="1" applyBorder="1" applyAlignment="1">
      <alignment/>
    </xf>
    <xf numFmtId="189" fontId="1" fillId="0" borderId="7" xfId="15" applyNumberFormat="1" applyFont="1" applyBorder="1" applyAlignment="1">
      <alignment/>
    </xf>
    <xf numFmtId="189" fontId="1" fillId="0" borderId="0" xfId="15" applyNumberFormat="1" applyFont="1" applyAlignment="1">
      <alignment/>
    </xf>
    <xf numFmtId="189" fontId="2" fillId="0" borderId="0" xfId="15" applyNumberFormat="1" applyFont="1" applyAlignment="1">
      <alignment/>
    </xf>
    <xf numFmtId="189" fontId="2" fillId="0" borderId="6" xfId="15" applyNumberFormat="1" applyFont="1" applyBorder="1" applyAlignment="1">
      <alignment/>
    </xf>
    <xf numFmtId="189" fontId="2" fillId="0" borderId="0" xfId="15" applyNumberFormat="1" applyFont="1" applyBorder="1" applyAlignment="1">
      <alignment/>
    </xf>
    <xf numFmtId="189" fontId="2" fillId="0" borderId="7" xfId="15" applyNumberFormat="1" applyFont="1" applyBorder="1" applyAlignment="1">
      <alignment/>
    </xf>
    <xf numFmtId="189" fontId="2" fillId="0" borderId="1" xfId="15" applyNumberFormat="1" applyFont="1" applyBorder="1" applyAlignment="1">
      <alignment/>
    </xf>
    <xf numFmtId="189" fontId="2" fillId="0" borderId="4" xfId="15" applyNumberFormat="1" applyFont="1" applyBorder="1" applyAlignment="1">
      <alignment/>
    </xf>
    <xf numFmtId="189" fontId="2" fillId="0" borderId="5" xfId="15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89" fontId="2" fillId="0" borderId="0" xfId="0" applyNumberFormat="1" applyFont="1" applyAlignment="1">
      <alignment/>
    </xf>
    <xf numFmtId="10" fontId="2" fillId="0" borderId="0" xfId="19" applyNumberFormat="1" applyFont="1" applyAlignment="1">
      <alignment/>
    </xf>
    <xf numFmtId="10" fontId="2" fillId="0" borderId="6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7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91" fontId="2" fillId="0" borderId="0" xfId="19" applyNumberFormat="1" applyFont="1" applyAlignment="1">
      <alignment/>
    </xf>
    <xf numFmtId="191" fontId="2" fillId="0" borderId="6" xfId="19" applyNumberFormat="1" applyFont="1" applyBorder="1" applyAlignment="1">
      <alignment/>
    </xf>
    <xf numFmtId="191" fontId="2" fillId="0" borderId="0" xfId="19" applyNumberFormat="1" applyFont="1" applyBorder="1" applyAlignment="1">
      <alignment/>
    </xf>
    <xf numFmtId="191" fontId="2" fillId="0" borderId="7" xfId="19" applyNumberFormat="1" applyFont="1" applyBorder="1" applyAlignment="1">
      <alignment/>
    </xf>
    <xf numFmtId="191" fontId="2" fillId="0" borderId="1" xfId="19" applyNumberFormat="1" applyFont="1" applyBorder="1" applyAlignment="1">
      <alignment/>
    </xf>
    <xf numFmtId="191" fontId="2" fillId="0" borderId="4" xfId="19" applyNumberFormat="1" applyFont="1" applyBorder="1" applyAlignment="1">
      <alignment/>
    </xf>
    <xf numFmtId="191" fontId="2" fillId="0" borderId="5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6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4" xfId="19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2" fillId="0" borderId="0" xfId="15" applyNumberFormat="1" applyFont="1" applyAlignment="1">
      <alignment/>
    </xf>
    <xf numFmtId="3" fontId="2" fillId="0" borderId="6" xfId="15" applyNumberFormat="1" applyFont="1" applyBorder="1" applyAlignment="1">
      <alignment/>
    </xf>
    <xf numFmtId="3" fontId="2" fillId="0" borderId="0" xfId="15" applyNumberFormat="1" applyFont="1" applyBorder="1" applyAlignment="1">
      <alignment/>
    </xf>
    <xf numFmtId="3" fontId="2" fillId="0" borderId="7" xfId="15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15" applyNumberFormat="1" applyFont="1" applyBorder="1" applyAlignment="1">
      <alignment/>
    </xf>
    <xf numFmtId="3" fontId="2" fillId="0" borderId="4" xfId="15" applyNumberFormat="1" applyFont="1" applyBorder="1" applyAlignment="1">
      <alignment/>
    </xf>
    <xf numFmtId="3" fontId="2" fillId="0" borderId="5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6" sqref="E6"/>
    </sheetView>
  </sheetViews>
  <sheetFormatPr defaultColWidth="11.421875" defaultRowHeight="12.75"/>
  <cols>
    <col min="1" max="1" width="3.57421875" style="1" customWidth="1"/>
    <col min="2" max="2" width="39.421875" style="1" customWidth="1"/>
    <col min="3" max="3" width="8.00390625" style="1" bestFit="1" customWidth="1"/>
    <col min="4" max="4" width="8.7109375" style="1" bestFit="1" customWidth="1"/>
    <col min="5" max="5" width="7.7109375" style="1" bestFit="1" customWidth="1"/>
    <col min="6" max="6" width="7.140625" style="1" bestFit="1" customWidth="1"/>
    <col min="7" max="7" width="7.7109375" style="1" bestFit="1" customWidth="1"/>
    <col min="8" max="8" width="8.7109375" style="1" bestFit="1" customWidth="1"/>
    <col min="9" max="9" width="7.140625" style="1" bestFit="1" customWidth="1"/>
    <col min="10" max="11" width="7.7109375" style="1" bestFit="1" customWidth="1"/>
    <col min="12" max="12" width="6.421875" style="1" hidden="1" customWidth="1"/>
    <col min="13" max="16384" width="11.421875" style="1" customWidth="1"/>
  </cols>
  <sheetData>
    <row r="1" ht="11.25"/>
    <row r="2" spans="2:12" ht="12.75" customHeight="1">
      <c r="B2" s="44"/>
      <c r="C2" s="53" t="s">
        <v>0</v>
      </c>
      <c r="D2" s="53"/>
      <c r="E2" s="53"/>
      <c r="F2" s="53"/>
      <c r="G2" s="53"/>
      <c r="H2" s="53"/>
      <c r="I2" s="53"/>
      <c r="J2" s="44"/>
      <c r="K2" s="44"/>
      <c r="L2" s="44"/>
    </row>
    <row r="3" spans="2:12" ht="12.75" customHeight="1">
      <c r="B3" s="44"/>
      <c r="C3" s="53" t="s">
        <v>1</v>
      </c>
      <c r="D3" s="53"/>
      <c r="E3" s="53"/>
      <c r="F3" s="53"/>
      <c r="G3" s="53"/>
      <c r="H3" s="53"/>
      <c r="I3" s="53"/>
      <c r="J3" s="44"/>
      <c r="K3" s="44"/>
      <c r="L3" s="44"/>
    </row>
    <row r="4" spans="2:12" ht="12.75" customHeight="1">
      <c r="B4" s="44"/>
      <c r="C4" s="53" t="s">
        <v>2</v>
      </c>
      <c r="D4" s="53"/>
      <c r="E4" s="53"/>
      <c r="F4" s="53"/>
      <c r="G4" s="53"/>
      <c r="H4" s="53"/>
      <c r="I4" s="53"/>
      <c r="J4" s="44"/>
      <c r="K4" s="44"/>
      <c r="L4" s="44"/>
    </row>
    <row r="5" spans="2:12" ht="12.75" customHeight="1">
      <c r="B5" s="43"/>
      <c r="C5" s="54" t="s">
        <v>3</v>
      </c>
      <c r="D5" s="54"/>
      <c r="E5" s="54"/>
      <c r="F5" s="54"/>
      <c r="G5" s="54"/>
      <c r="H5" s="54"/>
      <c r="I5" s="54"/>
      <c r="J5" s="43"/>
      <c r="K5" s="43"/>
      <c r="L5" s="43"/>
    </row>
    <row r="6" spans="1:12" ht="11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56">
        <v>2001</v>
      </c>
      <c r="D8" s="56"/>
      <c r="E8" s="56"/>
      <c r="F8" s="57"/>
      <c r="G8" s="55">
        <v>2000</v>
      </c>
      <c r="H8" s="56"/>
      <c r="I8" s="56"/>
      <c r="J8" s="57"/>
      <c r="K8" s="56" t="s">
        <v>4</v>
      </c>
      <c r="L8" s="56"/>
    </row>
    <row r="9" spans="1:12" ht="11.25">
      <c r="A9" s="4"/>
      <c r="B9" s="4"/>
      <c r="C9" s="5" t="s">
        <v>5</v>
      </c>
      <c r="D9" s="4" t="s">
        <v>6</v>
      </c>
      <c r="E9" s="4" t="s">
        <v>7</v>
      </c>
      <c r="F9" s="4" t="s">
        <v>8</v>
      </c>
      <c r="G9" s="6" t="s">
        <v>5</v>
      </c>
      <c r="H9" s="4" t="s">
        <v>6</v>
      </c>
      <c r="I9" s="4" t="s">
        <v>7</v>
      </c>
      <c r="J9" s="7" t="s">
        <v>8</v>
      </c>
      <c r="K9" s="8" t="s">
        <v>9</v>
      </c>
      <c r="L9" s="8" t="s">
        <v>10</v>
      </c>
    </row>
    <row r="10" spans="1:12" ht="11.25">
      <c r="A10" s="9" t="s">
        <v>11</v>
      </c>
      <c r="B10" s="9"/>
      <c r="C10" s="9"/>
      <c r="D10" s="9"/>
      <c r="E10" s="9"/>
      <c r="F10" s="9"/>
      <c r="G10" s="10"/>
      <c r="H10" s="11"/>
      <c r="I10" s="11"/>
      <c r="J10" s="12"/>
      <c r="K10" s="13"/>
      <c r="L10" s="13"/>
    </row>
    <row r="11" spans="1:12" ht="11.25">
      <c r="A11" s="1" t="s">
        <v>12</v>
      </c>
      <c r="C11" s="14">
        <v>12996</v>
      </c>
      <c r="D11" s="14">
        <v>12889</v>
      </c>
      <c r="E11" s="14">
        <v>18090</v>
      </c>
      <c r="F11" s="14">
        <v>18917</v>
      </c>
      <c r="G11" s="15">
        <v>14766</v>
      </c>
      <c r="H11" s="16">
        <v>15524</v>
      </c>
      <c r="I11" s="16">
        <v>15656</v>
      </c>
      <c r="J11" s="17">
        <v>19054</v>
      </c>
      <c r="K11" s="14">
        <v>16802</v>
      </c>
      <c r="L11" s="14">
        <v>55216</v>
      </c>
    </row>
    <row r="12" spans="1:12" ht="11.25">
      <c r="A12" s="1" t="s">
        <v>13</v>
      </c>
      <c r="C12" s="14">
        <v>7524</v>
      </c>
      <c r="D12" s="14">
        <v>5599</v>
      </c>
      <c r="E12" s="14">
        <v>6557</v>
      </c>
      <c r="F12" s="14">
        <v>5001</v>
      </c>
      <c r="G12" s="15">
        <v>3700</v>
      </c>
      <c r="H12" s="16">
        <v>4205</v>
      </c>
      <c r="I12" s="16">
        <v>3162</v>
      </c>
      <c r="J12" s="17">
        <v>11487</v>
      </c>
      <c r="K12" s="14">
        <v>6449</v>
      </c>
      <c r="L12" s="14">
        <v>32319</v>
      </c>
    </row>
    <row r="13" spans="1:12" ht="11.25">
      <c r="A13" s="1" t="s">
        <v>14</v>
      </c>
      <c r="C13" s="14">
        <f aca="true" t="shared" si="0" ref="C13:L13">C14+C15</f>
        <v>974</v>
      </c>
      <c r="D13" s="14">
        <f t="shared" si="0"/>
        <v>1052</v>
      </c>
      <c r="E13" s="14">
        <f t="shared" si="0"/>
        <v>1633</v>
      </c>
      <c r="F13" s="14">
        <f t="shared" si="0"/>
        <v>2229</v>
      </c>
      <c r="G13" s="15">
        <f t="shared" si="0"/>
        <v>3960</v>
      </c>
      <c r="H13" s="16">
        <f t="shared" si="0"/>
        <v>4357</v>
      </c>
      <c r="I13" s="16">
        <f t="shared" si="0"/>
        <v>3939</v>
      </c>
      <c r="J13" s="17">
        <f t="shared" si="0"/>
        <v>4153</v>
      </c>
      <c r="K13" s="14">
        <f t="shared" si="0"/>
        <v>3959</v>
      </c>
      <c r="L13" s="14">
        <f t="shared" si="0"/>
        <v>8618</v>
      </c>
    </row>
    <row r="14" spans="2:12" ht="11.25">
      <c r="B14" s="1" t="s">
        <v>15</v>
      </c>
      <c r="C14" s="14">
        <v>974</v>
      </c>
      <c r="D14" s="14">
        <v>1052</v>
      </c>
      <c r="E14" s="14">
        <v>1633</v>
      </c>
      <c r="F14" s="14">
        <v>2229</v>
      </c>
      <c r="G14" s="15">
        <v>3960</v>
      </c>
      <c r="H14" s="16">
        <v>4357</v>
      </c>
      <c r="I14" s="16">
        <v>3939</v>
      </c>
      <c r="J14" s="17">
        <v>4153</v>
      </c>
      <c r="K14" s="14">
        <v>3959</v>
      </c>
      <c r="L14" s="14">
        <v>6052</v>
      </c>
    </row>
    <row r="15" spans="2:12" ht="11.25">
      <c r="B15" s="1" t="s">
        <v>16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  <c r="H15" s="16">
        <v>0</v>
      </c>
      <c r="I15" s="16">
        <v>0</v>
      </c>
      <c r="J15" s="17">
        <v>0</v>
      </c>
      <c r="K15" s="14">
        <v>0</v>
      </c>
      <c r="L15" s="14">
        <v>2566</v>
      </c>
    </row>
    <row r="16" spans="1:12" ht="11.25">
      <c r="A16" s="1" t="s">
        <v>17</v>
      </c>
      <c r="C16" s="14">
        <v>2605</v>
      </c>
      <c r="D16" s="14">
        <v>2605</v>
      </c>
      <c r="E16" s="14">
        <v>2605</v>
      </c>
      <c r="F16" s="14">
        <v>2605</v>
      </c>
      <c r="G16" s="15">
        <v>2605</v>
      </c>
      <c r="H16" s="16">
        <v>2605</v>
      </c>
      <c r="I16" s="16">
        <v>2605</v>
      </c>
      <c r="J16" s="17">
        <v>2606</v>
      </c>
      <c r="K16" s="14">
        <v>2605</v>
      </c>
      <c r="L16" s="14">
        <v>12605</v>
      </c>
    </row>
    <row r="17" spans="1:12" ht="11.25">
      <c r="A17" s="1" t="s">
        <v>18</v>
      </c>
      <c r="C17" s="14">
        <f aca="true" t="shared" si="1" ref="C17:L17">C18+C22</f>
        <v>641</v>
      </c>
      <c r="D17" s="14">
        <f t="shared" si="1"/>
        <v>534</v>
      </c>
      <c r="E17" s="14">
        <f t="shared" si="1"/>
        <v>4966</v>
      </c>
      <c r="F17" s="14">
        <f t="shared" si="1"/>
        <v>5375</v>
      </c>
      <c r="G17" s="15">
        <f t="shared" si="1"/>
        <v>2365</v>
      </c>
      <c r="H17" s="16">
        <f t="shared" si="1"/>
        <v>2439</v>
      </c>
      <c r="I17" s="16">
        <f t="shared" si="1"/>
        <v>2550</v>
      </c>
      <c r="J17" s="17">
        <f t="shared" si="1"/>
        <v>2478</v>
      </c>
      <c r="K17" s="14">
        <f t="shared" si="1"/>
        <v>2412</v>
      </c>
      <c r="L17" s="14">
        <f t="shared" si="1"/>
        <v>22047</v>
      </c>
    </row>
    <row r="18" spans="2:12" ht="11.25">
      <c r="B18" s="1" t="s">
        <v>15</v>
      </c>
      <c r="C18" s="14">
        <f aca="true" t="shared" si="2" ref="C18:L18">SUM(C19:C21)</f>
        <v>641</v>
      </c>
      <c r="D18" s="14">
        <f t="shared" si="2"/>
        <v>534</v>
      </c>
      <c r="E18" s="14">
        <f t="shared" si="2"/>
        <v>4966</v>
      </c>
      <c r="F18" s="14">
        <f t="shared" si="2"/>
        <v>5375</v>
      </c>
      <c r="G18" s="15">
        <f t="shared" si="2"/>
        <v>2365</v>
      </c>
      <c r="H18" s="16">
        <f t="shared" si="2"/>
        <v>2439</v>
      </c>
      <c r="I18" s="16">
        <f t="shared" si="2"/>
        <v>2510</v>
      </c>
      <c r="J18" s="17">
        <f t="shared" si="2"/>
        <v>2478</v>
      </c>
      <c r="K18" s="14">
        <f t="shared" si="2"/>
        <v>2395</v>
      </c>
      <c r="L18" s="14">
        <f t="shared" si="2"/>
        <v>14787</v>
      </c>
    </row>
    <row r="19" spans="2:12" ht="11.25">
      <c r="B19" s="1" t="s">
        <v>19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  <c r="H19" s="16">
        <v>0</v>
      </c>
      <c r="I19" s="16">
        <v>0</v>
      </c>
      <c r="J19" s="17">
        <v>0</v>
      </c>
      <c r="K19" s="14">
        <v>0</v>
      </c>
      <c r="L19" s="14">
        <v>0</v>
      </c>
    </row>
    <row r="20" spans="2:12" ht="11.25">
      <c r="B20" s="1" t="s">
        <v>20</v>
      </c>
      <c r="C20" s="14">
        <f>248+393</f>
        <v>641</v>
      </c>
      <c r="D20" s="14">
        <v>534</v>
      </c>
      <c r="E20" s="14">
        <v>4966</v>
      </c>
      <c r="F20" s="14">
        <v>5375</v>
      </c>
      <c r="G20" s="15">
        <v>2365</v>
      </c>
      <c r="H20" s="16">
        <v>2439</v>
      </c>
      <c r="I20" s="16">
        <v>2510</v>
      </c>
      <c r="J20" s="17">
        <v>2478</v>
      </c>
      <c r="K20" s="14">
        <v>2395</v>
      </c>
      <c r="L20" s="14">
        <v>5487</v>
      </c>
    </row>
    <row r="21" spans="2:12" ht="11.25">
      <c r="B21" s="1" t="s">
        <v>21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  <c r="H21" s="16">
        <v>0</v>
      </c>
      <c r="I21" s="16">
        <v>0</v>
      </c>
      <c r="J21" s="17">
        <v>0</v>
      </c>
      <c r="K21" s="14">
        <v>0</v>
      </c>
      <c r="L21" s="14">
        <v>9300</v>
      </c>
    </row>
    <row r="22" spans="2:12" ht="11.25">
      <c r="B22" s="1" t="s">
        <v>16</v>
      </c>
      <c r="C22" s="14">
        <f aca="true" t="shared" si="3" ref="C22:L22">SUM(C23:C24)</f>
        <v>0</v>
      </c>
      <c r="D22" s="14">
        <f t="shared" si="3"/>
        <v>0</v>
      </c>
      <c r="E22" s="14">
        <f t="shared" si="3"/>
        <v>0</v>
      </c>
      <c r="F22" s="14">
        <f t="shared" si="3"/>
        <v>0</v>
      </c>
      <c r="G22" s="15">
        <f t="shared" si="3"/>
        <v>0</v>
      </c>
      <c r="H22" s="16">
        <f t="shared" si="3"/>
        <v>0</v>
      </c>
      <c r="I22" s="16">
        <f t="shared" si="3"/>
        <v>40</v>
      </c>
      <c r="J22" s="17">
        <f t="shared" si="3"/>
        <v>0</v>
      </c>
      <c r="K22" s="14">
        <f t="shared" si="3"/>
        <v>17</v>
      </c>
      <c r="L22" s="14">
        <f t="shared" si="3"/>
        <v>7260</v>
      </c>
    </row>
    <row r="23" spans="2:12" ht="11.25">
      <c r="B23" s="1" t="s">
        <v>20</v>
      </c>
      <c r="C23" s="14">
        <v>0</v>
      </c>
      <c r="D23" s="14">
        <v>0</v>
      </c>
      <c r="E23" s="14">
        <v>0</v>
      </c>
      <c r="F23" s="14">
        <v>0</v>
      </c>
      <c r="G23" s="15">
        <v>0</v>
      </c>
      <c r="H23" s="16">
        <v>0</v>
      </c>
      <c r="I23" s="16">
        <v>0</v>
      </c>
      <c r="J23" s="17">
        <v>0</v>
      </c>
      <c r="K23" s="14">
        <v>0</v>
      </c>
      <c r="L23" s="14">
        <v>17</v>
      </c>
    </row>
    <row r="24" spans="2:12" ht="11.25">
      <c r="B24" s="1" t="s">
        <v>21</v>
      </c>
      <c r="C24" s="14">
        <v>0</v>
      </c>
      <c r="D24" s="14">
        <v>0</v>
      </c>
      <c r="E24" s="14">
        <v>0</v>
      </c>
      <c r="F24" s="14">
        <v>0</v>
      </c>
      <c r="G24" s="15">
        <v>0</v>
      </c>
      <c r="H24" s="16">
        <v>0</v>
      </c>
      <c r="I24" s="16">
        <v>40</v>
      </c>
      <c r="J24" s="17">
        <v>0</v>
      </c>
      <c r="K24" s="14">
        <v>17</v>
      </c>
      <c r="L24" s="14">
        <v>7243</v>
      </c>
    </row>
    <row r="25" spans="1:12" ht="11.25">
      <c r="A25" s="2" t="s">
        <v>22</v>
      </c>
      <c r="B25" s="2"/>
      <c r="C25" s="18">
        <v>10918</v>
      </c>
      <c r="D25" s="18">
        <v>11163</v>
      </c>
      <c r="E25" s="18">
        <v>11404</v>
      </c>
      <c r="F25" s="18">
        <v>11744</v>
      </c>
      <c r="G25" s="19">
        <v>11243</v>
      </c>
      <c r="H25" s="18">
        <v>11420</v>
      </c>
      <c r="I25" s="18">
        <v>11566</v>
      </c>
      <c r="J25" s="20">
        <v>11692</v>
      </c>
      <c r="K25" s="18">
        <v>11071</v>
      </c>
      <c r="L25" s="18">
        <v>13065</v>
      </c>
    </row>
    <row r="26" spans="1:12" ht="11.25">
      <c r="A26" s="9" t="s">
        <v>23</v>
      </c>
      <c r="D26" s="14"/>
      <c r="F26" s="14"/>
      <c r="G26" s="15"/>
      <c r="H26" s="16"/>
      <c r="I26" s="16"/>
      <c r="J26" s="17"/>
      <c r="K26" s="14"/>
      <c r="L26" s="14"/>
    </row>
    <row r="27" spans="1:12" ht="11.25">
      <c r="A27" s="1" t="s">
        <v>12</v>
      </c>
      <c r="C27" s="14">
        <f>(C11+G11)/2</f>
        <v>13881</v>
      </c>
      <c r="D27" s="14">
        <f>(D11+H11)/2</f>
        <v>14206.5</v>
      </c>
      <c r="E27" s="14">
        <f>(E11+I11)/2</f>
        <v>16873</v>
      </c>
      <c r="F27" s="14">
        <f>(F11+J11)/2</f>
        <v>18985.5</v>
      </c>
      <c r="G27" s="15">
        <f>(G11+16802)/2</f>
        <v>15784</v>
      </c>
      <c r="H27" s="16">
        <f>(H11+28269)/2</f>
        <v>21896.5</v>
      </c>
      <c r="I27" s="16">
        <f>(I11+29181)/2</f>
        <v>22418.5</v>
      </c>
      <c r="J27" s="17">
        <f>(J11+36756)/2</f>
        <v>27905</v>
      </c>
      <c r="K27" s="14">
        <f>(K11+L11)/2</f>
        <v>36009</v>
      </c>
      <c r="L27" s="14">
        <f>(L11+334422)/2</f>
        <v>194819</v>
      </c>
    </row>
    <row r="28" spans="1:12" ht="11.25">
      <c r="A28" s="1" t="s">
        <v>24</v>
      </c>
      <c r="C28" s="14">
        <f aca="true" t="shared" si="4" ref="C28:L28">C29+C30</f>
        <v>5072</v>
      </c>
      <c r="D28" s="14">
        <f t="shared" si="4"/>
        <v>5309.5</v>
      </c>
      <c r="E28" s="14">
        <f t="shared" si="4"/>
        <v>5391</v>
      </c>
      <c r="F28" s="14">
        <f t="shared" si="4"/>
        <v>5796.5</v>
      </c>
      <c r="G28" s="15">
        <f t="shared" si="4"/>
        <v>6564.5</v>
      </c>
      <c r="H28" s="16">
        <f t="shared" si="4"/>
        <v>6879</v>
      </c>
      <c r="I28" s="16">
        <f t="shared" si="4"/>
        <v>7121.5</v>
      </c>
      <c r="J28" s="17">
        <f t="shared" si="4"/>
        <v>12622</v>
      </c>
      <c r="K28" s="14">
        <f t="shared" si="4"/>
        <v>13893.5</v>
      </c>
      <c r="L28" s="14">
        <f t="shared" si="4"/>
        <v>124882</v>
      </c>
    </row>
    <row r="29" spans="2:12" ht="11.25">
      <c r="B29" s="1" t="s">
        <v>14</v>
      </c>
      <c r="C29" s="14">
        <f>(C13+G13)/2</f>
        <v>2467</v>
      </c>
      <c r="D29" s="14">
        <f>(D13+H13)/2</f>
        <v>2704.5</v>
      </c>
      <c r="E29" s="14">
        <f>(E13+I13)/2</f>
        <v>2786</v>
      </c>
      <c r="F29" s="14">
        <f>(F13+J13)/2</f>
        <v>3191</v>
      </c>
      <c r="G29" s="15">
        <f>(G13+K13)/2</f>
        <v>3959.5</v>
      </c>
      <c r="H29" s="16">
        <f>(H13+4191)/2</f>
        <v>4274</v>
      </c>
      <c r="I29" s="16">
        <f>(I13+5094)/2</f>
        <v>4516.5</v>
      </c>
      <c r="J29" s="17">
        <f>(J13+5633)/2</f>
        <v>4893</v>
      </c>
      <c r="K29" s="14">
        <f>(K13+L13)/2</f>
        <v>6288.5</v>
      </c>
      <c r="L29" s="14">
        <f>(L13+167489)/2</f>
        <v>88053.5</v>
      </c>
    </row>
    <row r="30" spans="2:12" ht="11.25">
      <c r="B30" s="1" t="s">
        <v>17</v>
      </c>
      <c r="C30" s="14">
        <f>(C16+G16)/2</f>
        <v>2605</v>
      </c>
      <c r="D30" s="14">
        <f>(D16+H16)/2</f>
        <v>2605</v>
      </c>
      <c r="E30" s="14">
        <f>(E16+I16)/2</f>
        <v>2605</v>
      </c>
      <c r="F30" s="14">
        <f>(F16+J16)/2</f>
        <v>2605.5</v>
      </c>
      <c r="G30" s="15">
        <f>(G16+K16)/2</f>
        <v>2605</v>
      </c>
      <c r="H30" s="16">
        <f>(H16+2605)/2</f>
        <v>2605</v>
      </c>
      <c r="I30" s="16">
        <f>(I16+2605)/2</f>
        <v>2605</v>
      </c>
      <c r="J30" s="17">
        <f>(J16+12852)/2</f>
        <v>7729</v>
      </c>
      <c r="K30" s="14">
        <f>(K16+L16)/2</f>
        <v>7605</v>
      </c>
      <c r="L30" s="14">
        <f>(L16+61052)/2</f>
        <v>36828.5</v>
      </c>
    </row>
    <row r="31" spans="1:12" ht="11.25">
      <c r="A31" s="2" t="s">
        <v>22</v>
      </c>
      <c r="B31" s="2"/>
      <c r="C31" s="18">
        <f>(C25+G25)/2</f>
        <v>11080.5</v>
      </c>
      <c r="D31" s="18">
        <f>(D25+H25)/2</f>
        <v>11291.5</v>
      </c>
      <c r="E31" s="18">
        <f>(E25+I25)/2</f>
        <v>11485</v>
      </c>
      <c r="F31" s="18">
        <f>(F25+J25)/2</f>
        <v>11718</v>
      </c>
      <c r="G31" s="19">
        <f>(G25+K25)/2</f>
        <v>11157</v>
      </c>
      <c r="H31" s="18">
        <f>(H25+11294)/2</f>
        <v>11357</v>
      </c>
      <c r="I31" s="18">
        <f>(I25+11557)/2</f>
        <v>11561.5</v>
      </c>
      <c r="J31" s="20">
        <f>(J25+12557)/2</f>
        <v>12124.5</v>
      </c>
      <c r="K31" s="18">
        <f>(K25+L25)/2</f>
        <v>12068</v>
      </c>
      <c r="L31" s="18">
        <f>(L25+17653)/2</f>
        <v>15359</v>
      </c>
    </row>
    <row r="32" spans="1:10" ht="11.25">
      <c r="A32" s="9" t="s">
        <v>25</v>
      </c>
      <c r="D32" s="14"/>
      <c r="F32" s="14"/>
      <c r="G32" s="21"/>
      <c r="H32" s="22"/>
      <c r="I32" s="22"/>
      <c r="J32" s="23"/>
    </row>
    <row r="33" spans="1:12" ht="11.25">
      <c r="A33" s="1" t="s">
        <v>26</v>
      </c>
      <c r="C33" s="24">
        <v>321</v>
      </c>
      <c r="D33" s="14">
        <f>E33+77</f>
        <v>267</v>
      </c>
      <c r="E33" s="14">
        <f>F33+69</f>
        <v>190</v>
      </c>
      <c r="F33" s="14">
        <v>121</v>
      </c>
      <c r="G33" s="15">
        <f>146+H33</f>
        <v>722</v>
      </c>
      <c r="H33" s="16">
        <f>142+I33</f>
        <v>576</v>
      </c>
      <c r="I33" s="16">
        <f>221+J33</f>
        <v>434</v>
      </c>
      <c r="J33" s="17">
        <v>213</v>
      </c>
      <c r="K33" s="14">
        <v>874</v>
      </c>
      <c r="L33" s="14">
        <v>2553</v>
      </c>
    </row>
    <row r="34" spans="1:12" ht="11.25">
      <c r="A34" s="1" t="s">
        <v>27</v>
      </c>
      <c r="C34" s="24">
        <v>103</v>
      </c>
      <c r="D34" s="14">
        <f>E34+21</f>
        <v>92</v>
      </c>
      <c r="E34" s="14">
        <f>F34+33</f>
        <v>71</v>
      </c>
      <c r="F34" s="14">
        <v>38</v>
      </c>
      <c r="G34" s="15">
        <f>38+H34</f>
        <v>144</v>
      </c>
      <c r="H34" s="16">
        <f>35+I34</f>
        <v>106</v>
      </c>
      <c r="I34" s="16">
        <f>36+J34</f>
        <v>71</v>
      </c>
      <c r="J34" s="17">
        <v>35</v>
      </c>
      <c r="K34" s="14">
        <v>823</v>
      </c>
      <c r="L34" s="14">
        <v>2403</v>
      </c>
    </row>
    <row r="35" spans="1:12" ht="11.25">
      <c r="A35" s="1" t="s">
        <v>28</v>
      </c>
      <c r="C35" s="14">
        <f aca="true" t="shared" si="5" ref="C35:L35">C33-C34</f>
        <v>218</v>
      </c>
      <c r="D35" s="14">
        <f t="shared" si="5"/>
        <v>175</v>
      </c>
      <c r="E35" s="14">
        <f t="shared" si="5"/>
        <v>119</v>
      </c>
      <c r="F35" s="14">
        <f t="shared" si="5"/>
        <v>83</v>
      </c>
      <c r="G35" s="15">
        <f t="shared" si="5"/>
        <v>578</v>
      </c>
      <c r="H35" s="16">
        <f t="shared" si="5"/>
        <v>470</v>
      </c>
      <c r="I35" s="16">
        <f t="shared" si="5"/>
        <v>363</v>
      </c>
      <c r="J35" s="17">
        <f t="shared" si="5"/>
        <v>178</v>
      </c>
      <c r="K35" s="14">
        <f t="shared" si="5"/>
        <v>51</v>
      </c>
      <c r="L35" s="14">
        <f t="shared" si="5"/>
        <v>150</v>
      </c>
    </row>
    <row r="36" spans="1:12" ht="11.25">
      <c r="A36" s="1" t="s">
        <v>29</v>
      </c>
      <c r="C36" s="24">
        <v>71</v>
      </c>
      <c r="D36" s="14">
        <f>E36+9</f>
        <v>26</v>
      </c>
      <c r="E36" s="14">
        <f>F36+12</f>
        <v>17</v>
      </c>
      <c r="F36" s="14">
        <v>5</v>
      </c>
      <c r="G36" s="15">
        <f>10+H36</f>
        <v>37</v>
      </c>
      <c r="H36" s="16">
        <f>11+I36</f>
        <v>27</v>
      </c>
      <c r="I36" s="16">
        <f>8+J36</f>
        <v>16</v>
      </c>
      <c r="J36" s="17">
        <v>8</v>
      </c>
      <c r="K36" s="14">
        <v>124</v>
      </c>
      <c r="L36" s="14">
        <v>1868</v>
      </c>
    </row>
    <row r="37" spans="1:12" ht="11.25">
      <c r="A37" s="1" t="s">
        <v>30</v>
      </c>
      <c r="C37" s="14">
        <f aca="true" t="shared" si="6" ref="C37:L37">C35+C36</f>
        <v>289</v>
      </c>
      <c r="D37" s="14">
        <f t="shared" si="6"/>
        <v>201</v>
      </c>
      <c r="E37" s="14">
        <f t="shared" si="6"/>
        <v>136</v>
      </c>
      <c r="F37" s="14">
        <f t="shared" si="6"/>
        <v>88</v>
      </c>
      <c r="G37" s="15">
        <f t="shared" si="6"/>
        <v>615</v>
      </c>
      <c r="H37" s="16">
        <f t="shared" si="6"/>
        <v>497</v>
      </c>
      <c r="I37" s="16">
        <f t="shared" si="6"/>
        <v>379</v>
      </c>
      <c r="J37" s="17">
        <f t="shared" si="6"/>
        <v>186</v>
      </c>
      <c r="K37" s="14">
        <f t="shared" si="6"/>
        <v>175</v>
      </c>
      <c r="L37" s="14">
        <f t="shared" si="6"/>
        <v>2018</v>
      </c>
    </row>
    <row r="38" spans="1:12" ht="11.25">
      <c r="A38" s="1" t="s">
        <v>31</v>
      </c>
      <c r="C38" s="24">
        <v>1371</v>
      </c>
      <c r="D38" s="14">
        <f>E38+306</f>
        <v>1039</v>
      </c>
      <c r="E38" s="14">
        <f>F38+389</f>
        <v>733</v>
      </c>
      <c r="F38" s="14">
        <v>344</v>
      </c>
      <c r="G38" s="15">
        <f>292+H38</f>
        <v>1364</v>
      </c>
      <c r="H38" s="16">
        <f>446+I38</f>
        <v>1072</v>
      </c>
      <c r="I38" s="16">
        <f>315+J38</f>
        <v>626</v>
      </c>
      <c r="J38" s="17">
        <v>311</v>
      </c>
      <c r="K38" s="14">
        <v>1099</v>
      </c>
      <c r="L38" s="14">
        <v>954</v>
      </c>
    </row>
    <row r="39" spans="1:12" ht="11.25">
      <c r="A39" s="1" t="s">
        <v>32</v>
      </c>
      <c r="C39" s="45">
        <f aca="true" t="shared" si="7" ref="C39:L39">C37-C38</f>
        <v>-1082</v>
      </c>
      <c r="D39" s="45">
        <f t="shared" si="7"/>
        <v>-838</v>
      </c>
      <c r="E39" s="45">
        <f t="shared" si="7"/>
        <v>-597</v>
      </c>
      <c r="F39" s="45">
        <f t="shared" si="7"/>
        <v>-256</v>
      </c>
      <c r="G39" s="46">
        <f t="shared" si="7"/>
        <v>-749</v>
      </c>
      <c r="H39" s="47">
        <f t="shared" si="7"/>
        <v>-575</v>
      </c>
      <c r="I39" s="47">
        <f t="shared" si="7"/>
        <v>-247</v>
      </c>
      <c r="J39" s="48">
        <f t="shared" si="7"/>
        <v>-125</v>
      </c>
      <c r="K39" s="45">
        <f t="shared" si="7"/>
        <v>-924</v>
      </c>
      <c r="L39" s="14">
        <f t="shared" si="7"/>
        <v>1064</v>
      </c>
    </row>
    <row r="40" spans="1:12" ht="11.25">
      <c r="A40" s="2" t="s">
        <v>33</v>
      </c>
      <c r="B40" s="2"/>
      <c r="C40" s="49">
        <v>-1082</v>
      </c>
      <c r="D40" s="50">
        <f>E40-241</f>
        <v>-837</v>
      </c>
      <c r="E40" s="50">
        <f>F40-340</f>
        <v>-596</v>
      </c>
      <c r="F40" s="50">
        <v>-256</v>
      </c>
      <c r="G40" s="51">
        <f>-174+H40</f>
        <v>-749</v>
      </c>
      <c r="H40" s="50">
        <f>-146+I40</f>
        <v>-575</v>
      </c>
      <c r="I40" s="50">
        <f>-122+J40</f>
        <v>-429</v>
      </c>
      <c r="J40" s="52">
        <v>-307</v>
      </c>
      <c r="K40" s="50">
        <v>-924</v>
      </c>
      <c r="L40" s="18">
        <v>1064</v>
      </c>
    </row>
    <row r="41" spans="1:12" ht="11.25">
      <c r="A41" s="9" t="s">
        <v>34</v>
      </c>
      <c r="D41" s="14"/>
      <c r="E41" s="14"/>
      <c r="G41" s="15"/>
      <c r="H41" s="16"/>
      <c r="I41" s="16"/>
      <c r="J41" s="17"/>
      <c r="K41" s="14"/>
      <c r="L41" s="14"/>
    </row>
    <row r="42" spans="1:12" ht="11.25">
      <c r="A42" s="1" t="s">
        <v>35</v>
      </c>
      <c r="C42" s="1">
        <v>264</v>
      </c>
      <c r="D42" s="14">
        <v>323</v>
      </c>
      <c r="E42" s="14">
        <v>283</v>
      </c>
      <c r="F42" s="14">
        <v>81</v>
      </c>
      <c r="G42" s="15">
        <v>87</v>
      </c>
      <c r="H42" s="16">
        <v>14</v>
      </c>
      <c r="I42" s="16">
        <v>15</v>
      </c>
      <c r="J42" s="17">
        <v>29</v>
      </c>
      <c r="K42" s="14">
        <v>28</v>
      </c>
      <c r="L42" s="14">
        <v>221</v>
      </c>
    </row>
    <row r="43" spans="1:12" ht="11.25">
      <c r="A43" s="1" t="s">
        <v>36</v>
      </c>
      <c r="C43" s="14">
        <v>0</v>
      </c>
      <c r="D43" s="14">
        <v>0</v>
      </c>
      <c r="E43" s="14">
        <v>0</v>
      </c>
      <c r="F43" s="14">
        <v>0</v>
      </c>
      <c r="G43" s="15">
        <v>0</v>
      </c>
      <c r="H43" s="16">
        <v>0</v>
      </c>
      <c r="I43" s="16">
        <v>2</v>
      </c>
      <c r="J43" s="17">
        <v>0</v>
      </c>
      <c r="K43" s="14">
        <v>0</v>
      </c>
      <c r="L43" s="14">
        <v>0</v>
      </c>
    </row>
    <row r="44" spans="1:12" ht="11.25">
      <c r="A44" s="1" t="s">
        <v>37</v>
      </c>
      <c r="C44" s="25">
        <f aca="true" t="shared" si="8" ref="C44:L44">C42/C13</f>
        <v>0.27104722792607805</v>
      </c>
      <c r="D44" s="25">
        <f t="shared" si="8"/>
        <v>0.3070342205323194</v>
      </c>
      <c r="E44" s="25">
        <f t="shared" si="8"/>
        <v>0.17330067360685855</v>
      </c>
      <c r="F44" s="25">
        <f t="shared" si="8"/>
        <v>0.03633916554508748</v>
      </c>
      <c r="G44" s="26">
        <f t="shared" si="8"/>
        <v>0.02196969696969697</v>
      </c>
      <c r="H44" s="27">
        <f t="shared" si="8"/>
        <v>0.003213220105577232</v>
      </c>
      <c r="I44" s="27">
        <f t="shared" si="8"/>
        <v>0.003808073115003808</v>
      </c>
      <c r="J44" s="28">
        <f t="shared" si="8"/>
        <v>0.006982903924873585</v>
      </c>
      <c r="K44" s="25">
        <f t="shared" si="8"/>
        <v>0.007072493053801465</v>
      </c>
      <c r="L44" s="25">
        <f t="shared" si="8"/>
        <v>0.025644000928289626</v>
      </c>
    </row>
    <row r="45" spans="1:12" ht="11.25">
      <c r="A45" s="1" t="s">
        <v>38</v>
      </c>
      <c r="C45" s="25">
        <f aca="true" t="shared" si="9" ref="C45:L45">C43/C42</f>
        <v>0</v>
      </c>
      <c r="D45" s="25">
        <f t="shared" si="9"/>
        <v>0</v>
      </c>
      <c r="E45" s="25">
        <f t="shared" si="9"/>
        <v>0</v>
      </c>
      <c r="F45" s="25">
        <f t="shared" si="9"/>
        <v>0</v>
      </c>
      <c r="G45" s="26">
        <f t="shared" si="9"/>
        <v>0</v>
      </c>
      <c r="H45" s="27">
        <f t="shared" si="9"/>
        <v>0</v>
      </c>
      <c r="I45" s="27">
        <f t="shared" si="9"/>
        <v>0.13333333333333333</v>
      </c>
      <c r="J45" s="28">
        <f t="shared" si="9"/>
        <v>0</v>
      </c>
      <c r="K45" s="25">
        <f t="shared" si="9"/>
        <v>0</v>
      </c>
      <c r="L45" s="25">
        <f t="shared" si="9"/>
        <v>0</v>
      </c>
    </row>
    <row r="46" spans="1:12" ht="11.25">
      <c r="A46" s="2" t="s">
        <v>39</v>
      </c>
      <c r="B46" s="2"/>
      <c r="C46" s="29">
        <f aca="true" t="shared" si="10" ref="C46:L46">C43/C13</f>
        <v>0</v>
      </c>
      <c r="D46" s="29">
        <f t="shared" si="10"/>
        <v>0</v>
      </c>
      <c r="E46" s="29">
        <f t="shared" si="10"/>
        <v>0</v>
      </c>
      <c r="F46" s="29">
        <f t="shared" si="10"/>
        <v>0</v>
      </c>
      <c r="G46" s="30">
        <f t="shared" si="10"/>
        <v>0</v>
      </c>
      <c r="H46" s="29">
        <f t="shared" si="10"/>
        <v>0</v>
      </c>
      <c r="I46" s="29">
        <f t="shared" si="10"/>
        <v>0.0005077430820005078</v>
      </c>
      <c r="J46" s="31">
        <f t="shared" si="10"/>
        <v>0</v>
      </c>
      <c r="K46" s="29">
        <f t="shared" si="10"/>
        <v>0</v>
      </c>
      <c r="L46" s="29">
        <f t="shared" si="10"/>
        <v>0</v>
      </c>
    </row>
    <row r="47" spans="1:10" ht="11.25">
      <c r="A47" s="9" t="s">
        <v>40</v>
      </c>
      <c r="G47" s="21"/>
      <c r="H47" s="22"/>
      <c r="I47" s="22"/>
      <c r="J47" s="23"/>
    </row>
    <row r="48" spans="1:12" ht="11.25">
      <c r="A48" s="1" t="s">
        <v>41</v>
      </c>
      <c r="C48" s="25">
        <f aca="true" t="shared" si="11" ref="C48:L48">C25/(C13+C16)</f>
        <v>3.050572785694328</v>
      </c>
      <c r="D48" s="25">
        <f t="shared" si="11"/>
        <v>3.052502050861362</v>
      </c>
      <c r="E48" s="25">
        <f t="shared" si="11"/>
        <v>2.690891930155734</v>
      </c>
      <c r="F48" s="25">
        <f t="shared" si="11"/>
        <v>2.4294580057923043</v>
      </c>
      <c r="G48" s="26">
        <f t="shared" si="11"/>
        <v>1.7125666412795126</v>
      </c>
      <c r="H48" s="27">
        <f t="shared" si="11"/>
        <v>1.6403332375754094</v>
      </c>
      <c r="I48" s="27">
        <f t="shared" si="11"/>
        <v>1.7674205378973105</v>
      </c>
      <c r="J48" s="28">
        <f t="shared" si="11"/>
        <v>1.7298416925580706</v>
      </c>
      <c r="K48" s="25">
        <f t="shared" si="11"/>
        <v>1.6866240097501524</v>
      </c>
      <c r="L48" s="25">
        <f t="shared" si="11"/>
        <v>0.6156057107854686</v>
      </c>
    </row>
    <row r="49" spans="1:12" ht="11.25">
      <c r="A49" s="2" t="s">
        <v>42</v>
      </c>
      <c r="B49" s="2"/>
      <c r="C49" s="29">
        <f>C25/C13</f>
        <v>11.209445585215606</v>
      </c>
      <c r="D49" s="29">
        <f aca="true" t="shared" si="12" ref="D49:L49">D25/D11</f>
        <v>0.8660873613158507</v>
      </c>
      <c r="E49" s="29">
        <f t="shared" si="12"/>
        <v>0.6304035378662244</v>
      </c>
      <c r="F49" s="29">
        <f t="shared" si="12"/>
        <v>0.6208172543215098</v>
      </c>
      <c r="G49" s="30">
        <f t="shared" si="12"/>
        <v>0.7614113503995665</v>
      </c>
      <c r="H49" s="29">
        <f t="shared" si="12"/>
        <v>0.7356351455810358</v>
      </c>
      <c r="I49" s="29">
        <f t="shared" si="12"/>
        <v>0.7387583035258048</v>
      </c>
      <c r="J49" s="31">
        <f t="shared" si="12"/>
        <v>0.6136244358140023</v>
      </c>
      <c r="K49" s="29">
        <f t="shared" si="12"/>
        <v>0.6589096536126652</v>
      </c>
      <c r="L49" s="29">
        <f t="shared" si="12"/>
        <v>0.2366161982034193</v>
      </c>
    </row>
    <row r="50" spans="1:12" ht="11.25">
      <c r="A50" s="9" t="s">
        <v>43</v>
      </c>
      <c r="F50" s="32"/>
      <c r="G50" s="33"/>
      <c r="H50" s="34"/>
      <c r="I50" s="34"/>
      <c r="J50" s="35"/>
      <c r="K50" s="32"/>
      <c r="L50" s="32"/>
    </row>
    <row r="51" spans="1:12" ht="11.25">
      <c r="A51" s="1" t="s">
        <v>44</v>
      </c>
      <c r="C51" s="32">
        <f aca="true" t="shared" si="13" ref="C51:L51">C12/C17</f>
        <v>11.737909516380656</v>
      </c>
      <c r="D51" s="32">
        <f t="shared" si="13"/>
        <v>10.485018726591761</v>
      </c>
      <c r="E51" s="32">
        <f t="shared" si="13"/>
        <v>1.3203785743052758</v>
      </c>
      <c r="F51" s="32">
        <f t="shared" si="13"/>
        <v>0.9304186046511628</v>
      </c>
      <c r="G51" s="33">
        <f t="shared" si="13"/>
        <v>1.5644820295983086</v>
      </c>
      <c r="H51" s="34">
        <f t="shared" si="13"/>
        <v>1.7240672406724067</v>
      </c>
      <c r="I51" s="34">
        <f t="shared" si="13"/>
        <v>1.24</v>
      </c>
      <c r="J51" s="35">
        <f t="shared" si="13"/>
        <v>4.635593220338983</v>
      </c>
      <c r="K51" s="32">
        <f t="shared" si="13"/>
        <v>2.673714759535655</v>
      </c>
      <c r="L51" s="32">
        <f t="shared" si="13"/>
        <v>1.465913729759151</v>
      </c>
    </row>
    <row r="52" spans="1:12" ht="11.25">
      <c r="A52" s="1" t="s">
        <v>45</v>
      </c>
      <c r="C52" s="32">
        <f aca="true" t="shared" si="14" ref="C52:L52">C12/C11</f>
        <v>0.5789473684210527</v>
      </c>
      <c r="D52" s="32">
        <f t="shared" si="14"/>
        <v>0.4344014275739002</v>
      </c>
      <c r="E52" s="32">
        <f t="shared" si="14"/>
        <v>0.362465450525152</v>
      </c>
      <c r="F52" s="32">
        <f t="shared" si="14"/>
        <v>0.26436538563197126</v>
      </c>
      <c r="G52" s="33">
        <f t="shared" si="14"/>
        <v>0.2505756467560612</v>
      </c>
      <c r="H52" s="34">
        <f t="shared" si="14"/>
        <v>0.2708709095593919</v>
      </c>
      <c r="I52" s="34">
        <f t="shared" si="14"/>
        <v>0.20196729688298415</v>
      </c>
      <c r="J52" s="35">
        <f t="shared" si="14"/>
        <v>0.6028655400440852</v>
      </c>
      <c r="K52" s="32">
        <f t="shared" si="14"/>
        <v>0.38382335436257586</v>
      </c>
      <c r="L52" s="32">
        <f t="shared" si="14"/>
        <v>0.5853194726166329</v>
      </c>
    </row>
    <row r="53" spans="1:12" ht="11.25">
      <c r="A53" s="2" t="s">
        <v>46</v>
      </c>
      <c r="B53" s="2"/>
      <c r="C53" s="36">
        <f aca="true" t="shared" si="15" ref="C53:L53">(C12+C16)/C17</f>
        <v>15.801872074882995</v>
      </c>
      <c r="D53" s="36">
        <f t="shared" si="15"/>
        <v>15.363295880149813</v>
      </c>
      <c r="E53" s="36">
        <f t="shared" si="15"/>
        <v>1.8449456302859444</v>
      </c>
      <c r="F53" s="36">
        <f t="shared" si="15"/>
        <v>1.4150697674418604</v>
      </c>
      <c r="G53" s="37">
        <f t="shared" si="15"/>
        <v>2.6659619450317127</v>
      </c>
      <c r="H53" s="36">
        <f t="shared" si="15"/>
        <v>2.7921279212792127</v>
      </c>
      <c r="I53" s="36">
        <f t="shared" si="15"/>
        <v>2.2615686274509805</v>
      </c>
      <c r="J53" s="38">
        <f t="shared" si="15"/>
        <v>5.68724778046812</v>
      </c>
      <c r="K53" s="36">
        <f t="shared" si="15"/>
        <v>3.753731343283582</v>
      </c>
      <c r="L53" s="36">
        <f t="shared" si="15"/>
        <v>2.037646845375788</v>
      </c>
    </row>
    <row r="54" spans="1:10" ht="11.25">
      <c r="A54" s="9" t="s">
        <v>47</v>
      </c>
      <c r="G54" s="21"/>
      <c r="H54" s="22"/>
      <c r="I54" s="22"/>
      <c r="J54" s="23"/>
    </row>
    <row r="55" spans="1:12" ht="11.25">
      <c r="A55" s="1" t="s">
        <v>48</v>
      </c>
      <c r="B55" s="22"/>
      <c r="C55" s="39">
        <f>C40/C28</f>
        <v>-0.21332807570977919</v>
      </c>
      <c r="D55" s="39">
        <f>(D40/0.75)/D28</f>
        <v>-0.21018928336001508</v>
      </c>
      <c r="E55" s="25">
        <f>(E40/0.5)/E28</f>
        <v>-0.2211092561676869</v>
      </c>
      <c r="F55" s="25">
        <f>((F40)/0.25)/F28</f>
        <v>-0.17665832830156128</v>
      </c>
      <c r="G55" s="40">
        <f>G40/G28</f>
        <v>-0.11409856043872343</v>
      </c>
      <c r="H55" s="39">
        <f>(H40/0.75)/H28</f>
        <v>-0.11145030769976255</v>
      </c>
      <c r="I55" s="39">
        <f>(I40/0.5)/I28</f>
        <v>-0.12048023590535702</v>
      </c>
      <c r="J55" s="28">
        <f>((J40)/0.25)/J28</f>
        <v>-0.09729044525431786</v>
      </c>
      <c r="K55" s="25">
        <f>K40/K28</f>
        <v>-0.06650592003454853</v>
      </c>
      <c r="L55" s="25">
        <f>L40/L28</f>
        <v>0.008520042920516968</v>
      </c>
    </row>
    <row r="56" spans="1:12" ht="11.25">
      <c r="A56" s="1" t="s">
        <v>49</v>
      </c>
      <c r="B56" s="22"/>
      <c r="C56" s="39">
        <f>C40/C27</f>
        <v>-0.07794827461998415</v>
      </c>
      <c r="D56" s="39">
        <f>(D40/0.75)/D27</f>
        <v>-0.07855559075071271</v>
      </c>
      <c r="E56" s="25">
        <f>(E40/0.5)/E27</f>
        <v>-0.07064540982634979</v>
      </c>
      <c r="F56" s="25">
        <f>((F40)/0.25)/F27</f>
        <v>-0.0539358984488162</v>
      </c>
      <c r="G56" s="40">
        <f>G40/G27</f>
        <v>-0.047453117080587935</v>
      </c>
      <c r="H56" s="39">
        <f>(H40/0.75)/H27</f>
        <v>-0.03501320606794084</v>
      </c>
      <c r="I56" s="39">
        <f>(I40/0.5)/I27</f>
        <v>-0.03827196288779356</v>
      </c>
      <c r="J56" s="28">
        <f>((J40)/0.25)/J27</f>
        <v>-0.04400645045690736</v>
      </c>
      <c r="K56" s="25">
        <f>K40/K27</f>
        <v>-0.025660251603765727</v>
      </c>
      <c r="L56" s="25">
        <f>L40/L27</f>
        <v>0.005461479629810234</v>
      </c>
    </row>
    <row r="57" spans="1:12" ht="11.25">
      <c r="A57" s="1" t="s">
        <v>50</v>
      </c>
      <c r="B57" s="22"/>
      <c r="C57" s="39">
        <f>+C40/C31</f>
        <v>-0.09764902305852624</v>
      </c>
      <c r="D57" s="39">
        <f>(D40/0.75)/D31</f>
        <v>-0.0988354071646814</v>
      </c>
      <c r="E57" s="25">
        <f>(E40/0.5)/E31</f>
        <v>-0.10378754897692642</v>
      </c>
      <c r="F57" s="25">
        <f>((F40)/0.25)/F31</f>
        <v>-0.08738692609660352</v>
      </c>
      <c r="G57" s="40">
        <f>+G40/G31</f>
        <v>-0.06713274177646321</v>
      </c>
      <c r="H57" s="39">
        <f>(H40/0.75)/H31</f>
        <v>-0.0675060902233571</v>
      </c>
      <c r="I57" s="39">
        <f>(I40/0.5)/I31</f>
        <v>-0.07421182372529517</v>
      </c>
      <c r="J57" s="28">
        <f>((J40)/0.25)/J31</f>
        <v>-0.10128252711452018</v>
      </c>
      <c r="K57" s="25">
        <f>K40/K31</f>
        <v>-0.0765661252900232</v>
      </c>
      <c r="L57" s="25">
        <f>L40/L31</f>
        <v>0.06927534344683899</v>
      </c>
    </row>
    <row r="58" spans="1:12" ht="11.25">
      <c r="A58" s="1" t="s">
        <v>51</v>
      </c>
      <c r="B58" s="22"/>
      <c r="C58" s="39">
        <f>C33/C28</f>
        <v>0.06328864353312302</v>
      </c>
      <c r="D58" s="39">
        <f>(D33/0.75)/D28</f>
        <v>0.06704962802523778</v>
      </c>
      <c r="E58" s="25">
        <f>(E33/0.5)/E28</f>
        <v>0.07048785012057132</v>
      </c>
      <c r="F58" s="25">
        <f>((F33)/0.25)/F28</f>
        <v>0.08349866298628483</v>
      </c>
      <c r="G58" s="40">
        <f>G33/G28</f>
        <v>0.10998552821997105</v>
      </c>
      <c r="H58" s="39">
        <f>(H33/0.75)/H28</f>
        <v>0.11164413432184911</v>
      </c>
      <c r="I58" s="39">
        <f>(I33/0.5)/I28</f>
        <v>0.1218844344590325</v>
      </c>
      <c r="J58" s="28">
        <f>((J33)/0.25)/J28</f>
        <v>0.06750118840120424</v>
      </c>
      <c r="K58" s="25">
        <f>K33/K28</f>
        <v>0.06290711483787383</v>
      </c>
      <c r="L58" s="25">
        <f>L33/L27</f>
        <v>0.013104471329798428</v>
      </c>
    </row>
    <row r="59" spans="1:12" ht="11.25">
      <c r="A59" s="1" t="s">
        <v>52</v>
      </c>
      <c r="B59" s="22"/>
      <c r="C59" s="39">
        <f>C34/C28</f>
        <v>0.02030757097791798</v>
      </c>
      <c r="D59" s="39">
        <f>(D34/0.75)/D28</f>
        <v>0.02310324261543774</v>
      </c>
      <c r="E59" s="25">
        <f>(E34/0.5)/E28</f>
        <v>0.026340196624002967</v>
      </c>
      <c r="F59" s="25">
        <f>((F34)/0.25)/F28</f>
        <v>0.026222720607263005</v>
      </c>
      <c r="G59" s="40">
        <f>G34/G28</f>
        <v>0.02193617183334603</v>
      </c>
      <c r="H59" s="39">
        <f>(H34/0.75)/H28</f>
        <v>0.02054562194117362</v>
      </c>
      <c r="I59" s="39">
        <f>(I34/0.5)/I28</f>
        <v>0.019939619462191954</v>
      </c>
      <c r="J59" s="28">
        <f>((J34)/0.25)/J28</f>
        <v>0.011091744572967834</v>
      </c>
      <c r="K59" s="25">
        <f>K34/K28</f>
        <v>0.05923633353726563</v>
      </c>
      <c r="L59" s="25">
        <f>L34/L27</f>
        <v>0.01233452589326503</v>
      </c>
    </row>
    <row r="60" spans="1:12" ht="11.25">
      <c r="A60" s="1" t="s">
        <v>53</v>
      </c>
      <c r="B60" s="22"/>
      <c r="C60" s="39">
        <f>C35/C28</f>
        <v>0.04298107255520505</v>
      </c>
      <c r="D60" s="39">
        <f>(D35/0.75)/D28</f>
        <v>0.043946385409800046</v>
      </c>
      <c r="E60" s="25">
        <f>(E35/0.5)/E28</f>
        <v>0.04414765349656836</v>
      </c>
      <c r="F60" s="25">
        <f>((F35)/0.25)/F28</f>
        <v>0.057275942379021824</v>
      </c>
      <c r="G60" s="40">
        <f>G35/G28</f>
        <v>0.08804935638662503</v>
      </c>
      <c r="H60" s="39">
        <f>(H35/0.75)/H28</f>
        <v>0.09109851238067548</v>
      </c>
      <c r="I60" s="39">
        <f>(I35/0.5)/I28</f>
        <v>0.10194481499684055</v>
      </c>
      <c r="J60" s="28">
        <f>((J35)/0.25)/J28</f>
        <v>0.056409443828236414</v>
      </c>
      <c r="K60" s="25">
        <f>K35/K28</f>
        <v>0.003670781300608198</v>
      </c>
      <c r="L60" s="25">
        <f>L35/L27</f>
        <v>0.0007699454365333977</v>
      </c>
    </row>
    <row r="61" spans="1:12" ht="11.25">
      <c r="A61" s="1" t="s">
        <v>54</v>
      </c>
      <c r="B61" s="22"/>
      <c r="C61" s="39">
        <f>C38/C37</f>
        <v>4.743944636678201</v>
      </c>
      <c r="D61" s="39">
        <f>(D38/0.75)/(D37/0.75)</f>
        <v>5.169154228855721</v>
      </c>
      <c r="E61" s="25">
        <f>(E38/0.5)/(E37/0.5)</f>
        <v>5.389705882352941</v>
      </c>
      <c r="F61" s="25">
        <f>(F38/0.25)/(F37/0.25)</f>
        <v>3.909090909090909</v>
      </c>
      <c r="G61" s="40">
        <f>G38/G37</f>
        <v>2.2178861788617885</v>
      </c>
      <c r="H61" s="39">
        <f>(H38/0.75)/(H37/0.75)</f>
        <v>2.1569416498993963</v>
      </c>
      <c r="I61" s="39">
        <f>(I38/0.5)/(I37/0.5)</f>
        <v>1.6517150395778364</v>
      </c>
      <c r="J61" s="28">
        <f>(J38/0.25)/(J37/0.25)</f>
        <v>1.6720430107526882</v>
      </c>
      <c r="K61" s="25">
        <f>K38/K37</f>
        <v>6.28</v>
      </c>
      <c r="L61" s="25">
        <f>L38/L37</f>
        <v>0.47274529236868185</v>
      </c>
    </row>
    <row r="62" spans="1:12" ht="11.25">
      <c r="A62" s="2" t="s">
        <v>55</v>
      </c>
      <c r="B62" s="2"/>
      <c r="C62" s="41">
        <f>C36/C28</f>
        <v>0.013998422712933754</v>
      </c>
      <c r="D62" s="41">
        <f>(D36/0.75)/D28</f>
        <v>0.0065291772608845776</v>
      </c>
      <c r="E62" s="29">
        <f>(E36/0.5)/E28</f>
        <v>0.006306807642366908</v>
      </c>
      <c r="F62" s="29">
        <f>(F36/0.25)/F28</f>
        <v>0.003450357974639869</v>
      </c>
      <c r="G62" s="42">
        <f>G36/G28</f>
        <v>0.005636377484956966</v>
      </c>
      <c r="H62" s="41">
        <f>(H36/0.75)/H28</f>
        <v>0.005233318796336677</v>
      </c>
      <c r="I62" s="41">
        <f>(I36/0.5)/I28</f>
        <v>0.004493435371761567</v>
      </c>
      <c r="J62" s="31">
        <f>(J36/0.25)/J28</f>
        <v>0.0025352559023926477</v>
      </c>
      <c r="K62" s="29">
        <f>K36/K28</f>
        <v>0.008925036887753266</v>
      </c>
      <c r="L62" s="29">
        <f>L36/L27</f>
        <v>0.009588387169629245</v>
      </c>
    </row>
    <row r="63" spans="1:10" ht="11.25">
      <c r="A63" s="9" t="s">
        <v>56</v>
      </c>
      <c r="G63" s="21"/>
      <c r="H63" s="22"/>
      <c r="I63" s="22"/>
      <c r="J63" s="23"/>
    </row>
    <row r="64" spans="1:12" ht="11.25">
      <c r="A64" s="1" t="s">
        <v>57</v>
      </c>
      <c r="C64" s="1">
        <v>22</v>
      </c>
      <c r="D64" s="14">
        <v>22</v>
      </c>
      <c r="E64" s="14">
        <v>19</v>
      </c>
      <c r="F64" s="14">
        <v>19</v>
      </c>
      <c r="G64" s="15">
        <v>19</v>
      </c>
      <c r="H64" s="16">
        <v>17</v>
      </c>
      <c r="I64" s="16">
        <v>18</v>
      </c>
      <c r="J64" s="17">
        <v>20</v>
      </c>
      <c r="K64" s="14">
        <v>27</v>
      </c>
      <c r="L64" s="14">
        <v>13</v>
      </c>
    </row>
    <row r="65" spans="1:12" ht="11.25">
      <c r="A65" s="1" t="s">
        <v>58</v>
      </c>
      <c r="C65" s="1">
        <v>1</v>
      </c>
      <c r="D65" s="14">
        <v>1</v>
      </c>
      <c r="E65" s="14">
        <v>1</v>
      </c>
      <c r="F65" s="14">
        <v>1</v>
      </c>
      <c r="G65" s="15">
        <v>1</v>
      </c>
      <c r="H65" s="16">
        <v>1</v>
      </c>
      <c r="I65" s="16">
        <v>1</v>
      </c>
      <c r="J65" s="17">
        <v>1</v>
      </c>
      <c r="K65" s="14">
        <v>1</v>
      </c>
      <c r="L65" s="14">
        <v>1</v>
      </c>
    </row>
    <row r="66" spans="1:12" ht="11.25">
      <c r="A66" s="1" t="s">
        <v>59</v>
      </c>
      <c r="C66" s="14">
        <f aca="true" t="shared" si="16" ref="C66:L66">C13/C64</f>
        <v>44.27272727272727</v>
      </c>
      <c r="D66" s="14">
        <f t="shared" si="16"/>
        <v>47.81818181818182</v>
      </c>
      <c r="E66" s="14">
        <f t="shared" si="16"/>
        <v>85.94736842105263</v>
      </c>
      <c r="F66" s="14">
        <f t="shared" si="16"/>
        <v>117.3157894736842</v>
      </c>
      <c r="G66" s="15">
        <f t="shared" si="16"/>
        <v>208.42105263157896</v>
      </c>
      <c r="H66" s="16">
        <f t="shared" si="16"/>
        <v>256.29411764705884</v>
      </c>
      <c r="I66" s="16">
        <f t="shared" si="16"/>
        <v>218.83333333333334</v>
      </c>
      <c r="J66" s="17">
        <f t="shared" si="16"/>
        <v>207.65</v>
      </c>
      <c r="K66" s="14">
        <f t="shared" si="16"/>
        <v>146.62962962962962</v>
      </c>
      <c r="L66" s="14">
        <f t="shared" si="16"/>
        <v>662.9230769230769</v>
      </c>
    </row>
    <row r="67" spans="1:12" ht="11.25">
      <c r="A67" s="1" t="s">
        <v>60</v>
      </c>
      <c r="C67" s="14">
        <f aca="true" t="shared" si="17" ref="C67:L67">C17/C64</f>
        <v>29.136363636363637</v>
      </c>
      <c r="D67" s="14">
        <f t="shared" si="17"/>
        <v>24.272727272727273</v>
      </c>
      <c r="E67" s="14">
        <f t="shared" si="17"/>
        <v>261.36842105263156</v>
      </c>
      <c r="F67" s="14">
        <f t="shared" si="17"/>
        <v>282.89473684210526</v>
      </c>
      <c r="G67" s="15">
        <f t="shared" si="17"/>
        <v>124.47368421052632</v>
      </c>
      <c r="H67" s="16">
        <f t="shared" si="17"/>
        <v>143.47058823529412</v>
      </c>
      <c r="I67" s="16">
        <f t="shared" si="17"/>
        <v>141.66666666666666</v>
      </c>
      <c r="J67" s="17">
        <f t="shared" si="17"/>
        <v>123.9</v>
      </c>
      <c r="K67" s="14">
        <f t="shared" si="17"/>
        <v>89.33333333333333</v>
      </c>
      <c r="L67" s="14">
        <f t="shared" si="17"/>
        <v>1695.923076923077</v>
      </c>
    </row>
    <row r="68" spans="1:12" ht="11.25">
      <c r="A68" s="2" t="s">
        <v>61</v>
      </c>
      <c r="B68" s="2"/>
      <c r="C68" s="50">
        <f aca="true" t="shared" si="18" ref="C68:L68">(C40/C64)</f>
        <v>-49.18181818181818</v>
      </c>
      <c r="D68" s="50">
        <f t="shared" si="18"/>
        <v>-38.04545454545455</v>
      </c>
      <c r="E68" s="50">
        <f t="shared" si="18"/>
        <v>-31.36842105263158</v>
      </c>
      <c r="F68" s="50">
        <f t="shared" si="18"/>
        <v>-13.473684210526315</v>
      </c>
      <c r="G68" s="51">
        <f t="shared" si="18"/>
        <v>-39.421052631578945</v>
      </c>
      <c r="H68" s="50">
        <f t="shared" si="18"/>
        <v>-33.8235294117647</v>
      </c>
      <c r="I68" s="50">
        <f t="shared" si="18"/>
        <v>-23.833333333333332</v>
      </c>
      <c r="J68" s="52">
        <f t="shared" si="18"/>
        <v>-15.35</v>
      </c>
      <c r="K68" s="50">
        <f t="shared" si="18"/>
        <v>-34.22222222222222</v>
      </c>
      <c r="L68" s="18">
        <f t="shared" si="18"/>
        <v>81.84615384615384</v>
      </c>
    </row>
    <row r="69" spans="1:10" ht="11.25">
      <c r="A69" s="9" t="s">
        <v>62</v>
      </c>
      <c r="G69" s="21"/>
      <c r="H69" s="22"/>
      <c r="I69" s="22"/>
      <c r="J69" s="23"/>
    </row>
    <row r="70" spans="1:12" ht="11.25">
      <c r="A70" s="1" t="s">
        <v>63</v>
      </c>
      <c r="C70" s="25">
        <f>(C11/G11)-1</f>
        <v>-0.11986997155627799</v>
      </c>
      <c r="D70" s="25">
        <f>(D11/H11)-1</f>
        <v>-0.1697371811388817</v>
      </c>
      <c r="E70" s="25">
        <f>(E11/I11)-1</f>
        <v>0.15546755237608578</v>
      </c>
      <c r="F70" s="25">
        <f>(F11/J11)-1</f>
        <v>-0.007190091319407954</v>
      </c>
      <c r="G70" s="26">
        <f>(G11/K11)-1</f>
        <v>-0.1211760504701821</v>
      </c>
      <c r="H70" s="27">
        <f>(H11/28269)-1</f>
        <v>-0.45084721780041737</v>
      </c>
      <c r="I70" s="27">
        <f>(I11/29181)-1</f>
        <v>-0.46348651519824546</v>
      </c>
      <c r="J70" s="28">
        <f>(J11/36756)-1</f>
        <v>-0.4816084448797475</v>
      </c>
      <c r="K70" s="25">
        <f>(K11/L11)-1</f>
        <v>-0.6957041437264562</v>
      </c>
      <c r="L70" s="25">
        <f>(L11/334421)-1</f>
        <v>-0.8348907514779276</v>
      </c>
    </row>
    <row r="71" spans="1:12" ht="11.25">
      <c r="A71" s="1" t="s">
        <v>64</v>
      </c>
      <c r="C71" s="25">
        <f aca="true" t="shared" si="19" ref="C71:E72">(C13/G13)-1</f>
        <v>-0.7540404040404041</v>
      </c>
      <c r="D71" s="25">
        <f t="shared" si="19"/>
        <v>-0.7585494606380537</v>
      </c>
      <c r="E71" s="25">
        <f t="shared" si="19"/>
        <v>-0.5854277735465854</v>
      </c>
      <c r="F71" s="25">
        <f>F13/J13-1</f>
        <v>-0.46327955694678546</v>
      </c>
      <c r="G71" s="26">
        <f>(G13/K13)-1</f>
        <v>0.0002525890376356976</v>
      </c>
      <c r="H71" s="27">
        <f>H13/4191-1</f>
        <v>0.039608685277976674</v>
      </c>
      <c r="I71" s="27">
        <f>I13/5094-1</f>
        <v>-0.22673733804475849</v>
      </c>
      <c r="J71" s="28">
        <f>J13/5633-1</f>
        <v>-0.26273744008521216</v>
      </c>
      <c r="K71" s="25">
        <f>(K13/L13)-1</f>
        <v>-0.5406126711533998</v>
      </c>
      <c r="L71" s="25">
        <f>L13/167489-1</f>
        <v>-0.948545874654455</v>
      </c>
    </row>
    <row r="72" spans="2:12" ht="11.25">
      <c r="B72" s="1" t="s">
        <v>15</v>
      </c>
      <c r="C72" s="25">
        <f t="shared" si="19"/>
        <v>-0.7540404040404041</v>
      </c>
      <c r="D72" s="25">
        <f t="shared" si="19"/>
        <v>-0.7585494606380537</v>
      </c>
      <c r="E72" s="25">
        <f t="shared" si="19"/>
        <v>-0.5854277735465854</v>
      </c>
      <c r="F72" s="25">
        <f>(F14/J14)-1</f>
        <v>-0.46327955694678546</v>
      </c>
      <c r="G72" s="26">
        <f>(G14/K14)-1</f>
        <v>0.0002525890376356976</v>
      </c>
      <c r="H72" s="27">
        <f>(H14/4191)-1</f>
        <v>0.039608685277976674</v>
      </c>
      <c r="I72" s="27">
        <f>(I14/5094)-1</f>
        <v>-0.22673733804475849</v>
      </c>
      <c r="J72" s="28">
        <f>(J14/5633)-1</f>
        <v>-0.26273744008521216</v>
      </c>
      <c r="K72" s="25">
        <f>(K14/L14)-1</f>
        <v>-0.34583608724388637</v>
      </c>
      <c r="L72" s="25">
        <f>(L14/5855)-1</f>
        <v>0.03364645602049521</v>
      </c>
    </row>
    <row r="73" spans="2:12" ht="11.25">
      <c r="B73" s="1" t="s">
        <v>16</v>
      </c>
      <c r="C73" s="25">
        <v>0</v>
      </c>
      <c r="D73" s="25">
        <v>0</v>
      </c>
      <c r="E73" s="25">
        <v>0</v>
      </c>
      <c r="F73" s="25">
        <v>0</v>
      </c>
      <c r="G73" s="26">
        <v>0</v>
      </c>
      <c r="H73" s="27">
        <v>0</v>
      </c>
      <c r="I73" s="27">
        <v>0</v>
      </c>
      <c r="J73" s="28">
        <v>0</v>
      </c>
      <c r="K73" s="25">
        <f>(K15/L15)-1</f>
        <v>-1</v>
      </c>
      <c r="L73" s="25">
        <f>(L15/161634)-1</f>
        <v>-0.9841246272442679</v>
      </c>
    </row>
    <row r="74" spans="1:12" ht="11.25">
      <c r="A74" s="1" t="s">
        <v>65</v>
      </c>
      <c r="C74" s="25">
        <f aca="true" t="shared" si="20" ref="C74:G75">(C17/G17)-1</f>
        <v>-0.7289640591966173</v>
      </c>
      <c r="D74" s="25">
        <f t="shared" si="20"/>
        <v>-0.7810578105781057</v>
      </c>
      <c r="E74" s="25">
        <f t="shared" si="20"/>
        <v>0.9474509803921569</v>
      </c>
      <c r="F74" s="25">
        <f t="shared" si="20"/>
        <v>1.16908797417272</v>
      </c>
      <c r="G74" s="26">
        <f t="shared" si="20"/>
        <v>-0.019485903814262073</v>
      </c>
      <c r="H74" s="27">
        <f>H17/8363-1</f>
        <v>-0.7083582446490494</v>
      </c>
      <c r="I74" s="27">
        <f>I17/8724-1</f>
        <v>-0.7077028885832187</v>
      </c>
      <c r="J74" s="28">
        <f>J17/16973-1</f>
        <v>-0.8540034171920108</v>
      </c>
      <c r="K74" s="25">
        <f>(K17/L17)-1</f>
        <v>-0.8905973601850592</v>
      </c>
      <c r="L74" s="25">
        <f>L17/225417-1</f>
        <v>-0.9021945993425518</v>
      </c>
    </row>
    <row r="75" spans="2:12" ht="11.25">
      <c r="B75" s="1" t="s">
        <v>15</v>
      </c>
      <c r="C75" s="25">
        <f t="shared" si="20"/>
        <v>-0.7289640591966173</v>
      </c>
      <c r="D75" s="25">
        <f t="shared" si="20"/>
        <v>-0.7810578105781057</v>
      </c>
      <c r="E75" s="25">
        <f t="shared" si="20"/>
        <v>0.9784860557768924</v>
      </c>
      <c r="F75" s="25">
        <f t="shared" si="20"/>
        <v>1.16908797417272</v>
      </c>
      <c r="G75" s="26">
        <f t="shared" si="20"/>
        <v>-0.012526096033402934</v>
      </c>
      <c r="H75" s="27">
        <f>(H18/8363)-1</f>
        <v>-0.7083582446490494</v>
      </c>
      <c r="I75" s="27">
        <f>(I18/8724)-1</f>
        <v>-0.712287941311325</v>
      </c>
      <c r="J75" s="28">
        <f>(J18/14692)-1</f>
        <v>-0.8313367819221344</v>
      </c>
      <c r="K75" s="25">
        <f>(K18/L18)-1</f>
        <v>-0.838033407723</v>
      </c>
      <c r="L75" s="25">
        <f>(L18/22810)-1</f>
        <v>-0.3517316966242876</v>
      </c>
    </row>
    <row r="76" spans="2:12" ht="11.25">
      <c r="B76" s="1" t="s">
        <v>16</v>
      </c>
      <c r="C76" s="25">
        <v>0</v>
      </c>
      <c r="D76" s="25">
        <v>0</v>
      </c>
      <c r="E76" s="25">
        <f>(E22/I22)-1</f>
        <v>-1</v>
      </c>
      <c r="F76" s="25">
        <v>0</v>
      </c>
      <c r="G76" s="26">
        <f>(G22/K22)-1</f>
        <v>-1</v>
      </c>
      <c r="H76" s="27">
        <v>0</v>
      </c>
      <c r="I76" s="27">
        <v>0</v>
      </c>
      <c r="J76" s="28">
        <f>(J22/2281)-1</f>
        <v>-1</v>
      </c>
      <c r="K76" s="25">
        <f>(K22/L22)-1</f>
        <v>-0.9976584022038567</v>
      </c>
      <c r="L76" s="25">
        <f>(L22/202607)-1</f>
        <v>-0.9641670820850218</v>
      </c>
    </row>
    <row r="77" spans="1:12" ht="11.25">
      <c r="A77" s="1" t="s">
        <v>66</v>
      </c>
      <c r="C77" s="25">
        <f>(C25/G25)-1</f>
        <v>-0.02890687538913106</v>
      </c>
      <c r="D77" s="25">
        <f>(D25/H25)-1</f>
        <v>-0.022504378283712767</v>
      </c>
      <c r="E77" s="25">
        <f>(E25/I25)-1</f>
        <v>-0.014006570983918332</v>
      </c>
      <c r="F77" s="25">
        <f>(F25/J25)-1</f>
        <v>0.00444748546014373</v>
      </c>
      <c r="G77" s="26">
        <f>(G25/K25)-1</f>
        <v>0.015536085267816802</v>
      </c>
      <c r="H77" s="27">
        <f>(H25/11294)-1</f>
        <v>0.011156366212148106</v>
      </c>
      <c r="I77" s="27">
        <f>(I25/11558)-1</f>
        <v>0.0006921612735768523</v>
      </c>
      <c r="J77" s="28">
        <f>(J25/12557)-1</f>
        <v>-0.06888588038544241</v>
      </c>
      <c r="K77" s="25">
        <f>(K25/L25)-1</f>
        <v>-0.15262150784538842</v>
      </c>
      <c r="L77" s="25">
        <f>(L25/17653)-1</f>
        <v>-0.2598991672803489</v>
      </c>
    </row>
    <row r="78" spans="1:12" ht="11.25">
      <c r="A78" s="2" t="s">
        <v>67</v>
      </c>
      <c r="B78" s="2"/>
      <c r="C78" s="29">
        <f>(C40/G40)-1</f>
        <v>0.4445927903871829</v>
      </c>
      <c r="D78" s="29">
        <f>(D40/H40)-1</f>
        <v>0.45565217391304347</v>
      </c>
      <c r="E78" s="29">
        <f>(E40/I40)-1</f>
        <v>0.3892773892773893</v>
      </c>
      <c r="F78" s="29">
        <f>(F40/J40)-1</f>
        <v>-0.16612377850162863</v>
      </c>
      <c r="G78" s="30">
        <f>(G40/K40)-1</f>
        <v>-0.18939393939393945</v>
      </c>
      <c r="H78" s="29">
        <f>(H40/703)-1</f>
        <v>-1.817923186344239</v>
      </c>
      <c r="I78" s="29">
        <f>(I40/-441)-1</f>
        <v>-0.027210884353741527</v>
      </c>
      <c r="J78" s="31">
        <f>(J40/557)-1</f>
        <v>-1.5511669658886893</v>
      </c>
      <c r="K78" s="29">
        <f>(K40/L40)-1</f>
        <v>-1.868421052631579</v>
      </c>
      <c r="L78" s="29">
        <f>(L40/7589)-1</f>
        <v>-0.8597970747134009</v>
      </c>
    </row>
  </sheetData>
  <sheetProtection password="CD66" sheet="1" objects="1" scenarios="1"/>
  <mergeCells count="7">
    <mergeCell ref="K8:L8"/>
    <mergeCell ref="C8:F8"/>
    <mergeCell ref="C4:I4"/>
    <mergeCell ref="C3:I3"/>
    <mergeCell ref="C2:I2"/>
    <mergeCell ref="C5:I5"/>
    <mergeCell ref="G8:J8"/>
  </mergeCells>
  <printOptions horizontalCentered="1" verticalCentered="1"/>
  <pageMargins left="0.75" right="0.75" top="1" bottom="1" header="0" footer="0"/>
  <pageSetup horizontalDpi="300" verticalDpi="300" orientation="portrait" r:id="rId3"/>
  <legacyDrawing r:id="rId2"/>
  <oleObjects>
    <oleObject progId="MSPhotoEd.3" shapeId="4412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2002-03-19T20:20:44Z</dcterms:created>
  <dcterms:modified xsi:type="dcterms:W3CDTF">2002-07-12T14:01:26Z</dcterms:modified>
  <cp:category/>
  <cp:version/>
  <cp:contentType/>
  <cp:contentStatus/>
</cp:coreProperties>
</file>