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Paribas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<sst xmlns="http://schemas.openxmlformats.org/spreadsheetml/2006/main" count="84" uniqueCount="68">
  <si>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18-29</t>
  </si>
  <si>
    <t>BNP PARIBAS (PANAMA), S.A.</t>
  </si>
  <si>
    <t>ESTADISTICA FINANCIERA. AÑO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</si>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</sst>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0.0%"/>
    <numFmt numFmtId="192" formatCode="_(* #,##0.0000_);_(* \(#,##0.0000\);_(* &quot;-&quot;??_);_(@_)"/>
    <numFmt numFmtId="193" formatCode="0.00000"/>
    <numFmt numFmtId="194" formatCode="0.0000"/>
    <numFmt numFmtId="195" formatCode="0.000"/>
    <numFmt numFmtId="196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9" fontId="1" fillId="0" borderId="0" xfId="15" applyNumberFormat="1" applyFont="1" applyAlignment="1">
      <alignment/>
    </xf>
    <xf numFmtId="189" fontId="1" fillId="0" borderId="6" xfId="15" applyNumberFormat="1" applyFont="1" applyBorder="1" applyAlignment="1">
      <alignment/>
    </xf>
    <xf numFmtId="189" fontId="1" fillId="0" borderId="0" xfId="15" applyNumberFormat="1" applyFont="1" applyBorder="1" applyAlignment="1">
      <alignment/>
    </xf>
    <xf numFmtId="189" fontId="1" fillId="0" borderId="7" xfId="15" applyNumberFormat="1" applyFont="1" applyBorder="1" applyAlignment="1">
      <alignment/>
    </xf>
    <xf numFmtId="189" fontId="2" fillId="0" borderId="0" xfId="15" applyNumberFormat="1" applyFont="1" applyAlignment="1">
      <alignment/>
    </xf>
    <xf numFmtId="189" fontId="2" fillId="0" borderId="6" xfId="15" applyNumberFormat="1" applyFont="1" applyBorder="1" applyAlignment="1">
      <alignment/>
    </xf>
    <xf numFmtId="189" fontId="2" fillId="0" borderId="0" xfId="15" applyNumberFormat="1" applyFont="1" applyBorder="1" applyAlignment="1">
      <alignment/>
    </xf>
    <xf numFmtId="189" fontId="2" fillId="0" borderId="7" xfId="15" applyNumberFormat="1" applyFont="1" applyBorder="1" applyAlignment="1">
      <alignment/>
    </xf>
    <xf numFmtId="189" fontId="2" fillId="0" borderId="1" xfId="15" applyNumberFormat="1" applyFont="1" applyBorder="1" applyAlignment="1">
      <alignment/>
    </xf>
    <xf numFmtId="189" fontId="2" fillId="0" borderId="4" xfId="15" applyNumberFormat="1" applyFont="1" applyBorder="1" applyAlignment="1">
      <alignment/>
    </xf>
    <xf numFmtId="189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9" fontId="2" fillId="0" borderId="0" xfId="0" applyNumberFormat="1" applyFont="1" applyAlignment="1">
      <alignment/>
    </xf>
    <xf numFmtId="189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91" fontId="2" fillId="0" borderId="0" xfId="19" applyNumberFormat="1" applyFont="1" applyAlignment="1">
      <alignment/>
    </xf>
    <xf numFmtId="191" fontId="2" fillId="0" borderId="6" xfId="19" applyNumberFormat="1" applyFont="1" applyBorder="1" applyAlignment="1">
      <alignment/>
    </xf>
    <xf numFmtId="191" fontId="2" fillId="0" borderId="0" xfId="19" applyNumberFormat="1" applyFont="1" applyBorder="1" applyAlignment="1">
      <alignment/>
    </xf>
    <xf numFmtId="191" fontId="2" fillId="0" borderId="7" xfId="19" applyNumberFormat="1" applyFont="1" applyBorder="1" applyAlignment="1">
      <alignment/>
    </xf>
    <xf numFmtId="191" fontId="2" fillId="0" borderId="1" xfId="19" applyNumberFormat="1" applyFont="1" applyBorder="1" applyAlignment="1">
      <alignment/>
    </xf>
    <xf numFmtId="191" fontId="2" fillId="0" borderId="4" xfId="19" applyNumberFormat="1" applyFont="1" applyBorder="1" applyAlignment="1">
      <alignment/>
    </xf>
    <xf numFmtId="191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11.421875" defaultRowHeight="12.75"/>
  <cols>
    <col min="1" max="1" width="3.421875" style="1" customWidth="1"/>
    <col min="2" max="2" width="41.140625" style="1" customWidth="1"/>
    <col min="3" max="3" width="7.7109375" style="1" bestFit="1" customWidth="1"/>
    <col min="4" max="4" width="8.7109375" style="1" bestFit="1" customWidth="1"/>
    <col min="5" max="7" width="7.7109375" style="1" bestFit="1" customWidth="1"/>
    <col min="8" max="8" width="8.7109375" style="1" bestFit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2.75" customHeight="1">
      <c r="B2" s="45"/>
      <c r="C2" s="47" t="s">
        <v>0</v>
      </c>
      <c r="D2" s="47"/>
      <c r="E2" s="47"/>
      <c r="F2" s="47"/>
      <c r="G2" s="47"/>
      <c r="H2" s="47"/>
      <c r="I2" s="47"/>
      <c r="J2" s="45"/>
      <c r="K2" s="45"/>
      <c r="L2" s="45"/>
    </row>
    <row r="3" spans="2:12" ht="12.75" customHeight="1">
      <c r="B3" s="45"/>
      <c r="C3" s="47" t="s">
        <v>1</v>
      </c>
      <c r="D3" s="47"/>
      <c r="E3" s="47"/>
      <c r="F3" s="47"/>
      <c r="G3" s="47"/>
      <c r="H3" s="47"/>
      <c r="I3" s="47"/>
      <c r="J3" s="45"/>
      <c r="K3" s="45"/>
      <c r="L3" s="45"/>
    </row>
    <row r="4" spans="2:12" ht="12.75" customHeight="1">
      <c r="B4" s="45"/>
      <c r="C4" s="47" t="s">
        <v>2</v>
      </c>
      <c r="D4" s="47"/>
      <c r="E4" s="47"/>
      <c r="F4" s="47"/>
      <c r="G4" s="47"/>
      <c r="H4" s="47"/>
      <c r="I4" s="47"/>
      <c r="J4" s="45"/>
      <c r="K4" s="45"/>
      <c r="L4" s="45"/>
    </row>
    <row r="5" spans="2:12" ht="12.75" customHeight="1">
      <c r="B5" s="44"/>
      <c r="C5" s="48" t="s">
        <v>3</v>
      </c>
      <c r="D5" s="48"/>
      <c r="E5" s="48"/>
      <c r="F5" s="48"/>
      <c r="G5" s="48"/>
      <c r="H5" s="48"/>
      <c r="I5" s="48"/>
      <c r="J5" s="44"/>
      <c r="K5" s="44"/>
      <c r="L5" s="44"/>
    </row>
    <row r="6" spans="1:12" ht="11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0">
        <v>2001</v>
      </c>
      <c r="D8" s="50"/>
      <c r="E8" s="50"/>
      <c r="F8" s="51"/>
      <c r="G8" s="49">
        <v>2000</v>
      </c>
      <c r="H8" s="50"/>
      <c r="I8" s="50"/>
      <c r="J8" s="51"/>
      <c r="K8" s="50" t="s">
        <v>4</v>
      </c>
      <c r="L8" s="50"/>
    </row>
    <row r="9" spans="1:12" ht="11.25">
      <c r="A9" s="4"/>
      <c r="B9" s="4"/>
      <c r="C9" s="5" t="s">
        <v>5</v>
      </c>
      <c r="D9" s="4" t="s">
        <v>6</v>
      </c>
      <c r="E9" s="4" t="s">
        <v>7</v>
      </c>
      <c r="F9" s="4" t="s">
        <v>8</v>
      </c>
      <c r="G9" s="6" t="s">
        <v>5</v>
      </c>
      <c r="H9" s="4" t="s">
        <v>6</v>
      </c>
      <c r="I9" s="4" t="s">
        <v>7</v>
      </c>
      <c r="J9" s="7" t="s">
        <v>8</v>
      </c>
      <c r="K9" s="8" t="s">
        <v>9</v>
      </c>
      <c r="L9" s="8" t="s">
        <v>10</v>
      </c>
    </row>
    <row r="10" spans="1:12" ht="11.25">
      <c r="A10" s="9" t="s">
        <v>11</v>
      </c>
      <c r="B10" s="9"/>
      <c r="C10" s="9"/>
      <c r="D10" s="9"/>
      <c r="E10" s="9"/>
      <c r="F10" s="10"/>
      <c r="G10" s="11"/>
      <c r="H10" s="12"/>
      <c r="I10" s="12"/>
      <c r="J10" s="13"/>
      <c r="K10" s="10"/>
      <c r="L10" s="10"/>
    </row>
    <row r="11" spans="1:12" ht="11.25">
      <c r="A11" s="1" t="s">
        <v>12</v>
      </c>
      <c r="C11" s="14">
        <v>279947</v>
      </c>
      <c r="D11" s="14">
        <v>232816</v>
      </c>
      <c r="E11" s="14">
        <v>217227</v>
      </c>
      <c r="F11" s="14">
        <v>207595</v>
      </c>
      <c r="G11" s="15">
        <v>244824</v>
      </c>
      <c r="H11" s="16">
        <v>244001</v>
      </c>
      <c r="I11" s="16">
        <v>228208</v>
      </c>
      <c r="J11" s="17">
        <v>212464</v>
      </c>
      <c r="K11" s="14">
        <v>230619</v>
      </c>
      <c r="L11" s="14">
        <v>272103</v>
      </c>
    </row>
    <row r="12" spans="1:12" ht="11.25">
      <c r="A12" s="1" t="s">
        <v>13</v>
      </c>
      <c r="C12" s="14">
        <v>58820</v>
      </c>
      <c r="D12" s="14">
        <v>35601</v>
      </c>
      <c r="E12" s="14">
        <v>40172</v>
      </c>
      <c r="F12" s="14">
        <v>42932</v>
      </c>
      <c r="G12" s="15">
        <v>77305</v>
      </c>
      <c r="H12" s="16">
        <v>62606</v>
      </c>
      <c r="I12" s="16">
        <v>45487</v>
      </c>
      <c r="J12" s="17">
        <v>45090</v>
      </c>
      <c r="K12" s="14">
        <v>52989</v>
      </c>
      <c r="L12" s="14">
        <v>106645</v>
      </c>
    </row>
    <row r="13" spans="1:12" ht="11.25">
      <c r="A13" s="1" t="s">
        <v>14</v>
      </c>
      <c r="C13" s="14">
        <f aca="true" t="shared" si="0" ref="C13:L13">C14+C15</f>
        <v>195868</v>
      </c>
      <c r="D13" s="14">
        <f t="shared" si="0"/>
        <v>173547</v>
      </c>
      <c r="E13" s="14">
        <f t="shared" si="0"/>
        <v>157446</v>
      </c>
      <c r="F13" s="14">
        <f t="shared" si="0"/>
        <v>145629</v>
      </c>
      <c r="G13" s="15">
        <f t="shared" si="0"/>
        <v>146761</v>
      </c>
      <c r="H13" s="16">
        <f t="shared" si="0"/>
        <v>162904</v>
      </c>
      <c r="I13" s="16">
        <f t="shared" si="0"/>
        <v>163144</v>
      </c>
      <c r="J13" s="17">
        <f t="shared" si="0"/>
        <v>147063</v>
      </c>
      <c r="K13" s="14">
        <f t="shared" si="0"/>
        <v>154893</v>
      </c>
      <c r="L13" s="14">
        <f t="shared" si="0"/>
        <v>147476</v>
      </c>
    </row>
    <row r="14" spans="2:12" ht="11.25">
      <c r="B14" s="1" t="s">
        <v>15</v>
      </c>
      <c r="C14" s="14">
        <v>185380</v>
      </c>
      <c r="D14" s="14">
        <v>167476</v>
      </c>
      <c r="E14" s="14">
        <v>151593</v>
      </c>
      <c r="F14" s="14">
        <v>139418</v>
      </c>
      <c r="G14" s="15">
        <v>140997</v>
      </c>
      <c r="H14" s="16">
        <v>152826</v>
      </c>
      <c r="I14" s="16">
        <v>149455</v>
      </c>
      <c r="J14" s="17">
        <v>137402</v>
      </c>
      <c r="K14" s="14">
        <v>144148</v>
      </c>
      <c r="L14" s="14">
        <v>133661</v>
      </c>
    </row>
    <row r="15" spans="2:12" ht="11.25">
      <c r="B15" s="1" t="s">
        <v>16</v>
      </c>
      <c r="C15" s="14">
        <v>10488</v>
      </c>
      <c r="D15" s="14">
        <v>6071</v>
      </c>
      <c r="E15" s="14">
        <v>5853</v>
      </c>
      <c r="F15" s="14">
        <v>6211</v>
      </c>
      <c r="G15" s="15">
        <v>5764</v>
      </c>
      <c r="H15" s="16">
        <v>10078</v>
      </c>
      <c r="I15" s="16">
        <v>13689</v>
      </c>
      <c r="J15" s="17">
        <v>9661</v>
      </c>
      <c r="K15" s="14">
        <v>10745</v>
      </c>
      <c r="L15" s="14">
        <v>13815</v>
      </c>
    </row>
    <row r="16" spans="1:12" ht="11.25">
      <c r="A16" s="1" t="s">
        <v>17</v>
      </c>
      <c r="C16" s="14">
        <v>11506</v>
      </c>
      <c r="D16" s="14">
        <v>11538</v>
      </c>
      <c r="E16" s="14">
        <v>9001</v>
      </c>
      <c r="F16" s="14">
        <v>10001</v>
      </c>
      <c r="G16" s="15">
        <v>9909</v>
      </c>
      <c r="H16" s="16">
        <v>9909</v>
      </c>
      <c r="I16" s="16">
        <v>9835</v>
      </c>
      <c r="J16" s="17">
        <v>9836</v>
      </c>
      <c r="K16" s="14">
        <v>10126</v>
      </c>
      <c r="L16" s="14">
        <v>9018</v>
      </c>
    </row>
    <row r="17" spans="1:12" ht="11.25">
      <c r="A17" s="1" t="s">
        <v>18</v>
      </c>
      <c r="C17" s="14">
        <f aca="true" t="shared" si="1" ref="C17:L17">C18+C22</f>
        <v>247886</v>
      </c>
      <c r="D17" s="14">
        <f t="shared" si="1"/>
        <v>191754</v>
      </c>
      <c r="E17" s="14">
        <f t="shared" si="1"/>
        <v>180309</v>
      </c>
      <c r="F17" s="14">
        <f t="shared" si="1"/>
        <v>171489</v>
      </c>
      <c r="G17" s="15">
        <f t="shared" si="1"/>
        <v>200392</v>
      </c>
      <c r="H17" s="16">
        <f t="shared" si="1"/>
        <v>205416</v>
      </c>
      <c r="I17" s="16">
        <f t="shared" si="1"/>
        <v>192956</v>
      </c>
      <c r="J17" s="17">
        <f t="shared" si="1"/>
        <v>175598</v>
      </c>
      <c r="K17" s="14">
        <f t="shared" si="1"/>
        <v>195098</v>
      </c>
      <c r="L17" s="14">
        <f t="shared" si="1"/>
        <v>236744</v>
      </c>
    </row>
    <row r="18" spans="2:12" ht="11.25">
      <c r="B18" s="1" t="s">
        <v>15</v>
      </c>
      <c r="C18" s="14">
        <f aca="true" t="shared" si="2" ref="C18:L18">SUM(C19:C21)</f>
        <v>150412</v>
      </c>
      <c r="D18" s="14">
        <f t="shared" si="2"/>
        <v>119703</v>
      </c>
      <c r="E18" s="14">
        <f t="shared" si="2"/>
        <v>118244</v>
      </c>
      <c r="F18" s="14">
        <f t="shared" si="2"/>
        <v>110951</v>
      </c>
      <c r="G18" s="15">
        <f t="shared" si="2"/>
        <v>143250</v>
      </c>
      <c r="H18" s="16">
        <f t="shared" si="2"/>
        <v>131399</v>
      </c>
      <c r="I18" s="16">
        <f t="shared" si="2"/>
        <v>129922</v>
      </c>
      <c r="J18" s="17">
        <f t="shared" si="2"/>
        <v>121390</v>
      </c>
      <c r="K18" s="14">
        <f t="shared" si="2"/>
        <v>143545</v>
      </c>
      <c r="L18" s="14">
        <f t="shared" si="2"/>
        <v>189857</v>
      </c>
    </row>
    <row r="19" spans="2:12" ht="11.25">
      <c r="B19" s="1" t="s">
        <v>19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20</v>
      </c>
      <c r="C20" s="14">
        <f>38658+104379</f>
        <v>143037</v>
      </c>
      <c r="D20" s="14">
        <v>101850</v>
      </c>
      <c r="E20" s="14">
        <v>115391</v>
      </c>
      <c r="F20" s="14">
        <v>108098</v>
      </c>
      <c r="G20" s="15">
        <v>119226</v>
      </c>
      <c r="H20" s="16">
        <v>88915</v>
      </c>
      <c r="I20" s="16">
        <v>111960</v>
      </c>
      <c r="J20" s="17">
        <v>116390</v>
      </c>
      <c r="K20" s="14">
        <v>125544</v>
      </c>
      <c r="L20" s="14">
        <v>146856</v>
      </c>
    </row>
    <row r="21" spans="2:12" ht="11.25">
      <c r="B21" s="1" t="s">
        <v>21</v>
      </c>
      <c r="C21" s="14">
        <v>7375</v>
      </c>
      <c r="D21" s="14">
        <v>17853</v>
      </c>
      <c r="E21" s="14">
        <v>2853</v>
      </c>
      <c r="F21" s="14">
        <v>2853</v>
      </c>
      <c r="G21" s="15">
        <v>24024</v>
      </c>
      <c r="H21" s="16">
        <v>42484</v>
      </c>
      <c r="I21" s="16">
        <v>17962</v>
      </c>
      <c r="J21" s="17">
        <v>5000</v>
      </c>
      <c r="K21" s="14">
        <v>18001</v>
      </c>
      <c r="L21" s="14">
        <v>43001</v>
      </c>
    </row>
    <row r="22" spans="2:12" ht="11.25">
      <c r="B22" s="1" t="s">
        <v>16</v>
      </c>
      <c r="C22" s="14">
        <f aca="true" t="shared" si="3" ref="C22:L22">SUM(C23:C24)</f>
        <v>97474</v>
      </c>
      <c r="D22" s="14">
        <f t="shared" si="3"/>
        <v>72051</v>
      </c>
      <c r="E22" s="14">
        <f t="shared" si="3"/>
        <v>62065</v>
      </c>
      <c r="F22" s="14">
        <f t="shared" si="3"/>
        <v>60538</v>
      </c>
      <c r="G22" s="15">
        <f t="shared" si="3"/>
        <v>57142</v>
      </c>
      <c r="H22" s="16">
        <f t="shared" si="3"/>
        <v>74017</v>
      </c>
      <c r="I22" s="16">
        <f t="shared" si="3"/>
        <v>63034</v>
      </c>
      <c r="J22" s="17">
        <f t="shared" si="3"/>
        <v>54208</v>
      </c>
      <c r="K22" s="14">
        <f t="shared" si="3"/>
        <v>51553</v>
      </c>
      <c r="L22" s="14">
        <f t="shared" si="3"/>
        <v>46887</v>
      </c>
    </row>
    <row r="23" spans="2:12" ht="11.25">
      <c r="B23" s="1" t="s">
        <v>20</v>
      </c>
      <c r="C23" s="14">
        <f>6362+45075</f>
        <v>51437</v>
      </c>
      <c r="D23" s="14">
        <v>22239</v>
      </c>
      <c r="E23" s="14">
        <v>25492</v>
      </c>
      <c r="F23" s="14">
        <v>21924</v>
      </c>
      <c r="G23" s="15">
        <v>25709</v>
      </c>
      <c r="H23" s="16">
        <v>46965</v>
      </c>
      <c r="I23" s="16">
        <v>29885</v>
      </c>
      <c r="J23" s="17">
        <v>22839</v>
      </c>
      <c r="K23" s="14">
        <v>21988</v>
      </c>
      <c r="L23" s="14">
        <v>22984</v>
      </c>
    </row>
    <row r="24" spans="2:12" ht="11.25">
      <c r="B24" s="1" t="s">
        <v>21</v>
      </c>
      <c r="C24" s="14">
        <f>3162+29+42846</f>
        <v>46037</v>
      </c>
      <c r="D24" s="14">
        <v>49812</v>
      </c>
      <c r="E24" s="14">
        <v>36573</v>
      </c>
      <c r="F24" s="14">
        <v>38614</v>
      </c>
      <c r="G24" s="15">
        <v>31433</v>
      </c>
      <c r="H24" s="16">
        <v>27052</v>
      </c>
      <c r="I24" s="16">
        <v>33149</v>
      </c>
      <c r="J24" s="17">
        <v>31369</v>
      </c>
      <c r="K24" s="14">
        <v>29565</v>
      </c>
      <c r="L24" s="14">
        <v>23903</v>
      </c>
    </row>
    <row r="25" spans="1:12" ht="11.25">
      <c r="A25" s="2" t="s">
        <v>22</v>
      </c>
      <c r="B25" s="2"/>
      <c r="C25" s="18">
        <v>20309</v>
      </c>
      <c r="D25" s="18">
        <v>21744</v>
      </c>
      <c r="E25" s="18">
        <v>21222</v>
      </c>
      <c r="F25" s="18">
        <v>20560</v>
      </c>
      <c r="G25" s="19">
        <v>20097</v>
      </c>
      <c r="H25" s="18">
        <v>21704</v>
      </c>
      <c r="I25" s="18">
        <v>21198</v>
      </c>
      <c r="J25" s="20">
        <v>21620</v>
      </c>
      <c r="K25" s="18">
        <v>22015</v>
      </c>
      <c r="L25" s="18">
        <v>23646</v>
      </c>
    </row>
    <row r="26" spans="1:12" ht="11.25">
      <c r="A26" s="9" t="s">
        <v>23</v>
      </c>
      <c r="D26" s="14"/>
      <c r="F26" s="14"/>
      <c r="G26" s="15"/>
      <c r="H26" s="16"/>
      <c r="I26" s="16"/>
      <c r="J26" s="17"/>
      <c r="K26" s="14"/>
      <c r="L26" s="14"/>
    </row>
    <row r="27" spans="1:12" ht="11.25">
      <c r="A27" s="1" t="s">
        <v>12</v>
      </c>
      <c r="C27" s="14">
        <f>(C11+G11)/2</f>
        <v>262385.5</v>
      </c>
      <c r="D27" s="14">
        <f>(D11+H11)/2</f>
        <v>238408.5</v>
      </c>
      <c r="E27" s="14">
        <f>(E11+I11)/2</f>
        <v>222717.5</v>
      </c>
      <c r="F27" s="14">
        <f>(F11+J11)/2</f>
        <v>210029.5</v>
      </c>
      <c r="G27" s="15">
        <f>(G11+230619)/2</f>
        <v>237721.5</v>
      </c>
      <c r="H27" s="16">
        <f>(H11+257946)/2</f>
        <v>250973.5</v>
      </c>
      <c r="I27" s="16">
        <f>(I11+263031)/2</f>
        <v>245619.5</v>
      </c>
      <c r="J27" s="17">
        <f>(J11+255437)/2</f>
        <v>233950.5</v>
      </c>
      <c r="K27" s="14">
        <f>(K11+L11)/2</f>
        <v>251361</v>
      </c>
      <c r="L27" s="14">
        <f>(L11+236922)/2</f>
        <v>254512.5</v>
      </c>
    </row>
    <row r="28" spans="1:12" ht="11.25">
      <c r="A28" s="1" t="s">
        <v>24</v>
      </c>
      <c r="C28" s="14">
        <f aca="true" t="shared" si="4" ref="C28:L28">C29+C30</f>
        <v>182022</v>
      </c>
      <c r="D28" s="14">
        <f t="shared" si="4"/>
        <v>178949</v>
      </c>
      <c r="E28" s="14">
        <f t="shared" si="4"/>
        <v>169713</v>
      </c>
      <c r="F28" s="14">
        <f t="shared" si="4"/>
        <v>156264.5</v>
      </c>
      <c r="G28" s="15">
        <f t="shared" si="4"/>
        <v>160844.5</v>
      </c>
      <c r="H28" s="16">
        <f t="shared" si="4"/>
        <v>163710</v>
      </c>
      <c r="I28" s="16">
        <f t="shared" si="4"/>
        <v>163937</v>
      </c>
      <c r="J28" s="17">
        <f t="shared" si="4"/>
        <v>154138</v>
      </c>
      <c r="K28" s="14">
        <f t="shared" si="4"/>
        <v>160756.5</v>
      </c>
      <c r="L28" s="14">
        <f t="shared" si="4"/>
        <v>156583</v>
      </c>
    </row>
    <row r="29" spans="2:12" ht="11.25">
      <c r="B29" s="1" t="s">
        <v>14</v>
      </c>
      <c r="C29" s="14">
        <f>(C13+G13)/2</f>
        <v>171314.5</v>
      </c>
      <c r="D29" s="14">
        <f>(D13+H13)/2</f>
        <v>168225.5</v>
      </c>
      <c r="E29" s="14">
        <f>(E13+I13)/2</f>
        <v>160295</v>
      </c>
      <c r="F29" s="14">
        <f>(F13+J13)/2</f>
        <v>146346</v>
      </c>
      <c r="G29" s="15">
        <f>(G13+K13)/2</f>
        <v>150827</v>
      </c>
      <c r="H29" s="16">
        <f>(H13+145481)/2</f>
        <v>154192.5</v>
      </c>
      <c r="I29" s="16">
        <f>(I13+145814)/2</f>
        <v>154479</v>
      </c>
      <c r="J29" s="17">
        <f>(J13+142296)/2</f>
        <v>144679.5</v>
      </c>
      <c r="K29" s="14">
        <f>(K13+L13)/2</f>
        <v>151184.5</v>
      </c>
      <c r="L29" s="14">
        <f>(L13+147773)/2</f>
        <v>147624.5</v>
      </c>
    </row>
    <row r="30" spans="2:12" ht="11.25">
      <c r="B30" s="1" t="s">
        <v>17</v>
      </c>
      <c r="C30" s="14">
        <f>(C16+G16)/2</f>
        <v>10707.5</v>
      </c>
      <c r="D30" s="14">
        <f>(D16+H16)/2</f>
        <v>10723.5</v>
      </c>
      <c r="E30" s="14">
        <f>(E16+I16)/2</f>
        <v>9418</v>
      </c>
      <c r="F30" s="14">
        <f>(F16+J16)/2</f>
        <v>9918.5</v>
      </c>
      <c r="G30" s="15">
        <f>(G16+K16)/2</f>
        <v>10017.5</v>
      </c>
      <c r="H30" s="16">
        <f>(H16+9126)/2</f>
        <v>9517.5</v>
      </c>
      <c r="I30" s="16">
        <f>(I16+9081)/2</f>
        <v>9458</v>
      </c>
      <c r="J30" s="17">
        <f>(J16+9081)/2</f>
        <v>9458.5</v>
      </c>
      <c r="K30" s="14">
        <f>(K16+L16)/2</f>
        <v>9572</v>
      </c>
      <c r="L30" s="14">
        <f>(L16+8899)/2</f>
        <v>8958.5</v>
      </c>
    </row>
    <row r="31" spans="1:12" ht="11.25">
      <c r="A31" s="2" t="s">
        <v>22</v>
      </c>
      <c r="B31" s="2"/>
      <c r="C31" s="18">
        <f>(C25+G25)/2</f>
        <v>20203</v>
      </c>
      <c r="D31" s="18">
        <f>(D25+H25)/2</f>
        <v>21724</v>
      </c>
      <c r="E31" s="18">
        <f>(E25+I25)/2</f>
        <v>21210</v>
      </c>
      <c r="F31" s="18">
        <f>(F25+J25)/2</f>
        <v>21090</v>
      </c>
      <c r="G31" s="19">
        <f>(G25+K25)/2</f>
        <v>21056</v>
      </c>
      <c r="H31" s="18">
        <f>(H25+21750)/2</f>
        <v>21727</v>
      </c>
      <c r="I31" s="18">
        <f>(I25+20360)/2</f>
        <v>20779</v>
      </c>
      <c r="J31" s="20">
        <f>(J25+24119)/2</f>
        <v>22869.5</v>
      </c>
      <c r="K31" s="18">
        <f>(K25+L25)/2</f>
        <v>22830.5</v>
      </c>
      <c r="L31" s="18">
        <f>(L25+22075)/2</f>
        <v>22860.5</v>
      </c>
    </row>
    <row r="32" spans="1:10" ht="11.25">
      <c r="A32" s="9" t="s">
        <v>25</v>
      </c>
      <c r="D32" s="14"/>
      <c r="F32" s="14"/>
      <c r="G32" s="21"/>
      <c r="H32" s="22"/>
      <c r="I32" s="22"/>
      <c r="J32" s="23"/>
    </row>
    <row r="33" spans="1:12" ht="11.25">
      <c r="A33" s="1" t="s">
        <v>26</v>
      </c>
      <c r="C33" s="24">
        <v>13846</v>
      </c>
      <c r="D33" s="14">
        <f>E33+3442</f>
        <v>10621</v>
      </c>
      <c r="E33" s="14">
        <f>F33+3372</f>
        <v>7179</v>
      </c>
      <c r="F33" s="14">
        <v>3807</v>
      </c>
      <c r="G33" s="15">
        <f>4810+H33</f>
        <v>17265</v>
      </c>
      <c r="H33" s="16">
        <f>4198+I33</f>
        <v>12455</v>
      </c>
      <c r="I33" s="16">
        <f>4147+J33</f>
        <v>8257</v>
      </c>
      <c r="J33" s="17">
        <v>4110</v>
      </c>
      <c r="K33" s="14">
        <v>17028</v>
      </c>
      <c r="L33" s="14">
        <v>16495</v>
      </c>
    </row>
    <row r="34" spans="1:12" ht="11.25">
      <c r="A34" s="1" t="s">
        <v>27</v>
      </c>
      <c r="C34" s="24">
        <v>7068</v>
      </c>
      <c r="D34" s="14">
        <f>E34+1734</f>
        <v>5612</v>
      </c>
      <c r="E34" s="14">
        <f>F34+1696</f>
        <v>3878</v>
      </c>
      <c r="F34" s="14">
        <v>2182</v>
      </c>
      <c r="G34" s="15">
        <f>3032+H34</f>
        <v>10362</v>
      </c>
      <c r="H34" s="16">
        <f>2485+I34</f>
        <v>7330</v>
      </c>
      <c r="I34" s="16">
        <f>2459+J34</f>
        <v>4845</v>
      </c>
      <c r="J34" s="17">
        <v>2386</v>
      </c>
      <c r="K34" s="14">
        <v>9884</v>
      </c>
      <c r="L34" s="14">
        <v>8680</v>
      </c>
    </row>
    <row r="35" spans="1:12" ht="11.25">
      <c r="A35" s="1" t="s">
        <v>28</v>
      </c>
      <c r="C35" s="14">
        <f aca="true" t="shared" si="5" ref="C35:L35">C33-C34</f>
        <v>6778</v>
      </c>
      <c r="D35" s="14">
        <f t="shared" si="5"/>
        <v>5009</v>
      </c>
      <c r="E35" s="14">
        <f t="shared" si="5"/>
        <v>3301</v>
      </c>
      <c r="F35" s="14">
        <f t="shared" si="5"/>
        <v>1625</v>
      </c>
      <c r="G35" s="15">
        <f t="shared" si="5"/>
        <v>6903</v>
      </c>
      <c r="H35" s="16">
        <f t="shared" si="5"/>
        <v>5125</v>
      </c>
      <c r="I35" s="16">
        <f t="shared" si="5"/>
        <v>3412</v>
      </c>
      <c r="J35" s="17">
        <f t="shared" si="5"/>
        <v>1724</v>
      </c>
      <c r="K35" s="14">
        <f t="shared" si="5"/>
        <v>7144</v>
      </c>
      <c r="L35" s="14">
        <f t="shared" si="5"/>
        <v>7815</v>
      </c>
    </row>
    <row r="36" spans="1:12" ht="11.25">
      <c r="A36" s="1" t="s">
        <v>29</v>
      </c>
      <c r="C36" s="24">
        <v>5805</v>
      </c>
      <c r="D36" s="14">
        <f>E36+553</f>
        <v>3127</v>
      </c>
      <c r="E36" s="14">
        <f>F36+2059</f>
        <v>2574</v>
      </c>
      <c r="F36" s="14">
        <v>515</v>
      </c>
      <c r="G36" s="15">
        <f>3677+H36</f>
        <v>5264</v>
      </c>
      <c r="H36" s="16">
        <f>532+I36</f>
        <v>1587</v>
      </c>
      <c r="I36" s="16">
        <f>553+J36</f>
        <v>1055</v>
      </c>
      <c r="J36" s="17">
        <v>502</v>
      </c>
      <c r="K36" s="14">
        <v>4554</v>
      </c>
      <c r="L36" s="14">
        <v>3263</v>
      </c>
    </row>
    <row r="37" spans="1:12" ht="11.25">
      <c r="A37" s="1" t="s">
        <v>30</v>
      </c>
      <c r="C37" s="14">
        <f aca="true" t="shared" si="6" ref="C37:L37">C35+C36</f>
        <v>12583</v>
      </c>
      <c r="D37" s="14">
        <f t="shared" si="6"/>
        <v>8136</v>
      </c>
      <c r="E37" s="14">
        <f t="shared" si="6"/>
        <v>5875</v>
      </c>
      <c r="F37" s="14">
        <f t="shared" si="6"/>
        <v>2140</v>
      </c>
      <c r="G37" s="15">
        <f t="shared" si="6"/>
        <v>12167</v>
      </c>
      <c r="H37" s="16">
        <f t="shared" si="6"/>
        <v>6712</v>
      </c>
      <c r="I37" s="16">
        <f t="shared" si="6"/>
        <v>4467</v>
      </c>
      <c r="J37" s="17">
        <f t="shared" si="6"/>
        <v>2226</v>
      </c>
      <c r="K37" s="14">
        <f t="shared" si="6"/>
        <v>11698</v>
      </c>
      <c r="L37" s="14">
        <f t="shared" si="6"/>
        <v>11078</v>
      </c>
    </row>
    <row r="38" spans="1:12" ht="11.25">
      <c r="A38" s="1" t="s">
        <v>31</v>
      </c>
      <c r="C38" s="24">
        <v>7936</v>
      </c>
      <c r="D38" s="14">
        <f>E38+1683</f>
        <v>4954</v>
      </c>
      <c r="E38" s="14">
        <f>F38+1623</f>
        <v>3271</v>
      </c>
      <c r="F38" s="14">
        <v>1648</v>
      </c>
      <c r="G38" s="15">
        <f>685+H38</f>
        <v>5985</v>
      </c>
      <c r="H38" s="16">
        <f>1667+I38</f>
        <v>5300</v>
      </c>
      <c r="I38" s="16">
        <f>1782+J38</f>
        <v>3633</v>
      </c>
      <c r="J38" s="17">
        <v>1851</v>
      </c>
      <c r="K38" s="14">
        <v>6373</v>
      </c>
      <c r="L38" s="14">
        <v>7097</v>
      </c>
    </row>
    <row r="39" spans="1:12" ht="11.25">
      <c r="A39" s="1" t="s">
        <v>32</v>
      </c>
      <c r="C39" s="14">
        <f aca="true" t="shared" si="7" ref="C39:L39">C37-C38</f>
        <v>4647</v>
      </c>
      <c r="D39" s="14">
        <f t="shared" si="7"/>
        <v>3182</v>
      </c>
      <c r="E39" s="14">
        <f t="shared" si="7"/>
        <v>2604</v>
      </c>
      <c r="F39" s="14">
        <f t="shared" si="7"/>
        <v>492</v>
      </c>
      <c r="G39" s="15">
        <f t="shared" si="7"/>
        <v>6182</v>
      </c>
      <c r="H39" s="16">
        <f t="shared" si="7"/>
        <v>1412</v>
      </c>
      <c r="I39" s="16">
        <f t="shared" si="7"/>
        <v>834</v>
      </c>
      <c r="J39" s="17">
        <f t="shared" si="7"/>
        <v>375</v>
      </c>
      <c r="K39" s="14">
        <f t="shared" si="7"/>
        <v>5325</v>
      </c>
      <c r="L39" s="14">
        <f t="shared" si="7"/>
        <v>3981</v>
      </c>
    </row>
    <row r="40" spans="1:12" ht="11.25">
      <c r="A40" s="2" t="s">
        <v>33</v>
      </c>
      <c r="B40" s="2"/>
      <c r="C40" s="25">
        <v>298</v>
      </c>
      <c r="D40" s="18">
        <f>E40+578</f>
        <v>1732</v>
      </c>
      <c r="E40" s="18">
        <f>F40+662</f>
        <v>1154</v>
      </c>
      <c r="F40" s="18">
        <v>492</v>
      </c>
      <c r="G40" s="46">
        <f>-1608+H40</f>
        <v>-197</v>
      </c>
      <c r="H40" s="18">
        <f>578+I40</f>
        <v>1411</v>
      </c>
      <c r="I40" s="18">
        <f>459+J40</f>
        <v>833</v>
      </c>
      <c r="J40" s="20">
        <v>374</v>
      </c>
      <c r="K40" s="18">
        <v>909</v>
      </c>
      <c r="L40" s="18">
        <v>3647</v>
      </c>
    </row>
    <row r="41" spans="1:12" ht="11.25">
      <c r="A41" s="9" t="s">
        <v>34</v>
      </c>
      <c r="D41" s="14"/>
      <c r="E41" s="14"/>
      <c r="G41" s="15"/>
      <c r="H41" s="16"/>
      <c r="I41" s="16"/>
      <c r="J41" s="17"/>
      <c r="K41" s="14"/>
      <c r="L41" s="14"/>
    </row>
    <row r="42" spans="1:12" ht="11.25">
      <c r="A42" s="1" t="s">
        <v>35</v>
      </c>
      <c r="C42" s="14">
        <v>13879</v>
      </c>
      <c r="D42" s="14">
        <v>18166</v>
      </c>
      <c r="E42" s="14">
        <v>17939</v>
      </c>
      <c r="F42" s="14">
        <v>11366</v>
      </c>
      <c r="G42" s="15">
        <v>6320</v>
      </c>
      <c r="H42" s="16">
        <v>4999</v>
      </c>
      <c r="I42" s="16">
        <v>5951</v>
      </c>
      <c r="J42" s="17">
        <v>11990</v>
      </c>
      <c r="K42" s="14">
        <v>12772</v>
      </c>
      <c r="L42" s="14">
        <v>1382</v>
      </c>
    </row>
    <row r="43" spans="1:12" ht="11.25">
      <c r="A43" s="1" t="s">
        <v>36</v>
      </c>
      <c r="C43" s="14">
        <v>4995</v>
      </c>
      <c r="D43" s="14">
        <v>6141</v>
      </c>
      <c r="E43" s="14">
        <v>6152</v>
      </c>
      <c r="F43" s="14">
        <v>6572</v>
      </c>
      <c r="G43" s="15">
        <v>6602</v>
      </c>
      <c r="H43" s="16">
        <v>5352</v>
      </c>
      <c r="I43" s="16">
        <v>5373</v>
      </c>
      <c r="J43" s="17">
        <v>5422</v>
      </c>
      <c r="K43" s="14">
        <v>5447</v>
      </c>
      <c r="L43" s="14">
        <v>3357</v>
      </c>
    </row>
    <row r="44" spans="1:12" ht="11.25">
      <c r="A44" s="1" t="s">
        <v>37</v>
      </c>
      <c r="C44" s="26">
        <f aca="true" t="shared" si="8" ref="C44:L44">C42/C13</f>
        <v>0.07085894582065473</v>
      </c>
      <c r="D44" s="26">
        <f t="shared" si="8"/>
        <v>0.10467481431543041</v>
      </c>
      <c r="E44" s="26">
        <f t="shared" si="8"/>
        <v>0.11393747697623312</v>
      </c>
      <c r="F44" s="26">
        <f t="shared" si="8"/>
        <v>0.07804764160984419</v>
      </c>
      <c r="G44" s="27">
        <f t="shared" si="8"/>
        <v>0.04306321161616506</v>
      </c>
      <c r="H44" s="28">
        <f t="shared" si="8"/>
        <v>0.030686784854883856</v>
      </c>
      <c r="I44" s="28">
        <f t="shared" si="8"/>
        <v>0.03647697739420389</v>
      </c>
      <c r="J44" s="29">
        <f t="shared" si="8"/>
        <v>0.08152968455695858</v>
      </c>
      <c r="K44" s="26">
        <f t="shared" si="8"/>
        <v>0.08245692187510087</v>
      </c>
      <c r="L44" s="26">
        <f t="shared" si="8"/>
        <v>0.009371016300957444</v>
      </c>
    </row>
    <row r="45" spans="1:12" ht="11.25">
      <c r="A45" s="1" t="s">
        <v>38</v>
      </c>
      <c r="C45" s="26">
        <f aca="true" t="shared" si="9" ref="C45:L45">C43/C42</f>
        <v>0.3598962461272426</v>
      </c>
      <c r="D45" s="26">
        <f t="shared" si="9"/>
        <v>0.33804910271936583</v>
      </c>
      <c r="E45" s="26">
        <f t="shared" si="9"/>
        <v>0.34293996320865155</v>
      </c>
      <c r="F45" s="26">
        <f t="shared" si="9"/>
        <v>0.5782157311279253</v>
      </c>
      <c r="G45" s="27">
        <f t="shared" si="9"/>
        <v>1.044620253164557</v>
      </c>
      <c r="H45" s="28">
        <f t="shared" si="9"/>
        <v>1.070614122824565</v>
      </c>
      <c r="I45" s="28">
        <f t="shared" si="9"/>
        <v>0.9028734666442615</v>
      </c>
      <c r="J45" s="29">
        <f t="shared" si="9"/>
        <v>0.45221017514595496</v>
      </c>
      <c r="K45" s="26">
        <f t="shared" si="9"/>
        <v>0.42647979956154086</v>
      </c>
      <c r="L45" s="26">
        <f t="shared" si="9"/>
        <v>2.4290882778581766</v>
      </c>
    </row>
    <row r="46" spans="1:12" ht="11.25">
      <c r="A46" s="2" t="s">
        <v>39</v>
      </c>
      <c r="B46" s="2"/>
      <c r="C46" s="30">
        <f aca="true" t="shared" si="10" ref="C46:L46">C43/C13</f>
        <v>0.025501868605387303</v>
      </c>
      <c r="D46" s="30">
        <f t="shared" si="10"/>
        <v>0.03538522705664748</v>
      </c>
      <c r="E46" s="30">
        <f t="shared" si="10"/>
        <v>0.03907371416231597</v>
      </c>
      <c r="F46" s="30">
        <f t="shared" si="10"/>
        <v>0.045128374156246355</v>
      </c>
      <c r="G46" s="31">
        <f t="shared" si="10"/>
        <v>0.04498470302055723</v>
      </c>
      <c r="H46" s="30">
        <f t="shared" si="10"/>
        <v>0.032853705249717625</v>
      </c>
      <c r="I46" s="30">
        <f t="shared" si="10"/>
        <v>0.03293409503260923</v>
      </c>
      <c r="J46" s="32">
        <f t="shared" si="10"/>
        <v>0.0368685529330967</v>
      </c>
      <c r="K46" s="30">
        <f t="shared" si="10"/>
        <v>0.03516621151375466</v>
      </c>
      <c r="L46" s="30">
        <f t="shared" si="10"/>
        <v>0.022763025848273617</v>
      </c>
    </row>
    <row r="47" spans="1:10" ht="11.25">
      <c r="A47" s="9" t="s">
        <v>40</v>
      </c>
      <c r="G47" s="21"/>
      <c r="H47" s="22"/>
      <c r="I47" s="22"/>
      <c r="J47" s="23"/>
    </row>
    <row r="48" spans="1:12" ht="11.25">
      <c r="A48" s="1" t="s">
        <v>41</v>
      </c>
      <c r="C48" s="26">
        <f aca="true" t="shared" si="11" ref="C48:L48">C25/(C13+C16)</f>
        <v>0.09793416725336831</v>
      </c>
      <c r="D48" s="26">
        <f t="shared" si="11"/>
        <v>0.1174811573061026</v>
      </c>
      <c r="E48" s="26">
        <f t="shared" si="11"/>
        <v>0.12750004505938828</v>
      </c>
      <c r="F48" s="26">
        <f t="shared" si="11"/>
        <v>0.13210820535886397</v>
      </c>
      <c r="G48" s="27">
        <f t="shared" si="11"/>
        <v>0.1282759941277845</v>
      </c>
      <c r="H48" s="28">
        <f t="shared" si="11"/>
        <v>0.12559240334928506</v>
      </c>
      <c r="I48" s="28">
        <f t="shared" si="11"/>
        <v>0.12254666751455379</v>
      </c>
      <c r="J48" s="29">
        <f t="shared" si="11"/>
        <v>0.13779565197993612</v>
      </c>
      <c r="K48" s="26">
        <f t="shared" si="11"/>
        <v>0.13340888018955394</v>
      </c>
      <c r="L48" s="26">
        <f t="shared" si="11"/>
        <v>0.1510984446688052</v>
      </c>
    </row>
    <row r="49" spans="1:12" ht="11.25">
      <c r="A49" s="2" t="s">
        <v>42</v>
      </c>
      <c r="B49" s="2"/>
      <c r="C49" s="30">
        <f>C25/C13</f>
        <v>0.10368717707844058</v>
      </c>
      <c r="D49" s="30">
        <f aca="true" t="shared" si="12" ref="D49:L49">D25/D11</f>
        <v>0.09339564291114012</v>
      </c>
      <c r="E49" s="30">
        <f t="shared" si="12"/>
        <v>0.09769503790965212</v>
      </c>
      <c r="F49" s="30">
        <f t="shared" si="12"/>
        <v>0.0990389941954286</v>
      </c>
      <c r="G49" s="31">
        <f t="shared" si="12"/>
        <v>0.08208754043721204</v>
      </c>
      <c r="H49" s="30">
        <f t="shared" si="12"/>
        <v>0.08895045512108557</v>
      </c>
      <c r="I49" s="30">
        <f t="shared" si="12"/>
        <v>0.09288894342003785</v>
      </c>
      <c r="J49" s="32">
        <f t="shared" si="12"/>
        <v>0.1017584155433391</v>
      </c>
      <c r="K49" s="30">
        <f t="shared" si="12"/>
        <v>0.09546047810457942</v>
      </c>
      <c r="L49" s="30">
        <f t="shared" si="12"/>
        <v>0.08690091619717534</v>
      </c>
    </row>
    <row r="50" spans="1:12" ht="11.25">
      <c r="A50" s="9" t="s">
        <v>43</v>
      </c>
      <c r="F50" s="33"/>
      <c r="G50" s="34"/>
      <c r="H50" s="35"/>
      <c r="I50" s="35"/>
      <c r="J50" s="36"/>
      <c r="K50" s="33"/>
      <c r="L50" s="33"/>
    </row>
    <row r="51" spans="1:12" ht="11.25">
      <c r="A51" s="1" t="s">
        <v>44</v>
      </c>
      <c r="C51" s="33">
        <f aca="true" t="shared" si="13" ref="C51:L51">C12/C17</f>
        <v>0.23728649459832343</v>
      </c>
      <c r="D51" s="33">
        <f t="shared" si="13"/>
        <v>0.185659751556682</v>
      </c>
      <c r="E51" s="33">
        <f t="shared" si="13"/>
        <v>0.22279531249133433</v>
      </c>
      <c r="F51" s="33">
        <f t="shared" si="13"/>
        <v>0.25034841884902237</v>
      </c>
      <c r="G51" s="34">
        <f t="shared" si="13"/>
        <v>0.38576889296977923</v>
      </c>
      <c r="H51" s="35">
        <f t="shared" si="13"/>
        <v>0.30477664836234764</v>
      </c>
      <c r="I51" s="35">
        <f t="shared" si="13"/>
        <v>0.23573768112937665</v>
      </c>
      <c r="J51" s="36">
        <f t="shared" si="13"/>
        <v>0.2567796899736899</v>
      </c>
      <c r="K51" s="33">
        <f t="shared" si="13"/>
        <v>0.27160196414109833</v>
      </c>
      <c r="L51" s="33">
        <f t="shared" si="13"/>
        <v>0.45046548170175377</v>
      </c>
    </row>
    <row r="52" spans="1:12" ht="11.25">
      <c r="A52" s="1" t="s">
        <v>45</v>
      </c>
      <c r="C52" s="33">
        <f aca="true" t="shared" si="14" ref="C52:L52">C12/C11</f>
        <v>0.21011119961992805</v>
      </c>
      <c r="D52" s="33">
        <f t="shared" si="14"/>
        <v>0.15291474812727648</v>
      </c>
      <c r="E52" s="33">
        <f t="shared" si="14"/>
        <v>0.18493097082775162</v>
      </c>
      <c r="F52" s="33">
        <f t="shared" si="14"/>
        <v>0.20680652231508467</v>
      </c>
      <c r="G52" s="34">
        <f t="shared" si="14"/>
        <v>0.3157574420808417</v>
      </c>
      <c r="H52" s="35">
        <f t="shared" si="14"/>
        <v>0.25658091565198504</v>
      </c>
      <c r="I52" s="35">
        <f t="shared" si="14"/>
        <v>0.19932254785108322</v>
      </c>
      <c r="J52" s="36">
        <f t="shared" si="14"/>
        <v>0.2122241885684163</v>
      </c>
      <c r="K52" s="33">
        <f t="shared" si="14"/>
        <v>0.22976857934515368</v>
      </c>
      <c r="L52" s="33">
        <f t="shared" si="14"/>
        <v>0.39192879167080114</v>
      </c>
    </row>
    <row r="53" spans="1:12" ht="11.25">
      <c r="A53" s="2" t="s">
        <v>46</v>
      </c>
      <c r="B53" s="2"/>
      <c r="C53" s="37">
        <f aca="true" t="shared" si="15" ref="C53:L53">(C12+C16)/C17</f>
        <v>0.28370299250461906</v>
      </c>
      <c r="D53" s="37">
        <f t="shared" si="15"/>
        <v>0.24583059545042085</v>
      </c>
      <c r="E53" s="37">
        <f t="shared" si="15"/>
        <v>0.272715172287573</v>
      </c>
      <c r="F53" s="37">
        <f t="shared" si="15"/>
        <v>0.30866702820589076</v>
      </c>
      <c r="G53" s="38">
        <f t="shared" si="15"/>
        <v>0.43521697472953014</v>
      </c>
      <c r="H53" s="37">
        <f t="shared" si="15"/>
        <v>0.3530153444717062</v>
      </c>
      <c r="I53" s="37">
        <f t="shared" si="15"/>
        <v>0.2867078504944132</v>
      </c>
      <c r="J53" s="39">
        <f t="shared" si="15"/>
        <v>0.31279399537580155</v>
      </c>
      <c r="K53" s="37">
        <f t="shared" si="15"/>
        <v>0.3235040851264493</v>
      </c>
      <c r="L53" s="37">
        <f t="shared" si="15"/>
        <v>0.4885572601628764</v>
      </c>
    </row>
    <row r="54" spans="1:10" ht="11.25">
      <c r="A54" s="9" t="s">
        <v>47</v>
      </c>
      <c r="G54" s="21"/>
      <c r="H54" s="22"/>
      <c r="I54" s="22"/>
      <c r="J54" s="23"/>
    </row>
    <row r="55" spans="1:12" ht="11.25">
      <c r="A55" s="1" t="s">
        <v>48</v>
      </c>
      <c r="B55" s="22"/>
      <c r="C55" s="40">
        <f>C40/C28</f>
        <v>0.001637164738328334</v>
      </c>
      <c r="D55" s="40">
        <f>(D40/0.75)/D28</f>
        <v>0.012904980376159315</v>
      </c>
      <c r="E55" s="26">
        <f>(E40/0.5)/E28</f>
        <v>0.013599429625308608</v>
      </c>
      <c r="F55" s="26">
        <f>((F40)/0.25)/F28</f>
        <v>0.012594031273897782</v>
      </c>
      <c r="G55" s="41">
        <f>G40/G28</f>
        <v>-0.0012247854294054196</v>
      </c>
      <c r="H55" s="40">
        <f>(H40/0.75)/H28</f>
        <v>0.011491865697473173</v>
      </c>
      <c r="I55" s="40">
        <f>(I40/0.5)/I28</f>
        <v>0.01016244044968494</v>
      </c>
      <c r="J55" s="29">
        <f>((J40)/0.25)/J28</f>
        <v>0.009705588498618122</v>
      </c>
      <c r="K55" s="26">
        <f>K40/K28</f>
        <v>0.005654514747459667</v>
      </c>
      <c r="L55" s="26">
        <f>L40/L28</f>
        <v>0.023291161875810273</v>
      </c>
    </row>
    <row r="56" spans="1:12" ht="11.25">
      <c r="A56" s="1" t="s">
        <v>49</v>
      </c>
      <c r="B56" s="22"/>
      <c r="C56" s="40">
        <f>C40/C27</f>
        <v>0.0011357334913705216</v>
      </c>
      <c r="D56" s="40">
        <f>(D40/0.75)/D27</f>
        <v>0.009686455530458576</v>
      </c>
      <c r="E56" s="26">
        <f>(E40/0.5)/E27</f>
        <v>0.010362903678426707</v>
      </c>
      <c r="F56" s="26">
        <f>((F40)/0.25)/F27</f>
        <v>0.00937011229374921</v>
      </c>
      <c r="G56" s="41">
        <f>G40/G27</f>
        <v>-0.0008287008116640691</v>
      </c>
      <c r="H56" s="40">
        <f>(H40/0.75)/H27</f>
        <v>0.007496143351124056</v>
      </c>
      <c r="I56" s="40">
        <f>(I40/0.5)/I27</f>
        <v>0.0067828490816079345</v>
      </c>
      <c r="J56" s="29">
        <f>((J40)/0.25)/J27</f>
        <v>0.006394515079044498</v>
      </c>
      <c r="K56" s="26">
        <f>K40/K27</f>
        <v>0.0036163127931540693</v>
      </c>
      <c r="L56" s="26">
        <f>L40/L27</f>
        <v>0.014329355139727912</v>
      </c>
    </row>
    <row r="57" spans="1:12" ht="11.25">
      <c r="A57" s="1" t="s">
        <v>50</v>
      </c>
      <c r="B57" s="22"/>
      <c r="C57" s="40">
        <f>+C40/C31</f>
        <v>0.014750284611196356</v>
      </c>
      <c r="D57" s="40">
        <f>(D40/0.75)/D31</f>
        <v>0.10630332044436262</v>
      </c>
      <c r="E57" s="26">
        <f>(E40/0.5)/E31</f>
        <v>0.10881659594530882</v>
      </c>
      <c r="F57" s="26">
        <f>((F40)/0.25)/F31</f>
        <v>0.09331436699857752</v>
      </c>
      <c r="G57" s="41">
        <f>+G40/G31</f>
        <v>-0.009356003039513679</v>
      </c>
      <c r="H57" s="40">
        <f>(H40/0.75)/H31</f>
        <v>0.08658965035823322</v>
      </c>
      <c r="I57" s="40">
        <f>(I40/0.5)/I31</f>
        <v>0.0801771018817075</v>
      </c>
      <c r="J57" s="29">
        <f>((J40)/0.25)/J31</f>
        <v>0.06541463521283807</v>
      </c>
      <c r="K57" s="26">
        <f>K40/K31</f>
        <v>0.03981515954534504</v>
      </c>
      <c r="L57" s="26">
        <f>L40/L31</f>
        <v>0.1595328186172656</v>
      </c>
    </row>
    <row r="58" spans="1:12" ht="11.25">
      <c r="A58" s="1" t="s">
        <v>51</v>
      </c>
      <c r="B58" s="22"/>
      <c r="C58" s="40">
        <f>C33/C28</f>
        <v>0.07606772807682588</v>
      </c>
      <c r="D58" s="40">
        <f>(D33/0.75)/D28</f>
        <v>0.0791361412096929</v>
      </c>
      <c r="E58" s="26">
        <f>(E33/0.5)/E28</f>
        <v>0.08460165102260876</v>
      </c>
      <c r="F58" s="26">
        <f>((F33)/0.25)/F28</f>
        <v>0.09745015662546516</v>
      </c>
      <c r="G58" s="41">
        <f>G33/G28</f>
        <v>0.1073396976582973</v>
      </c>
      <c r="H58" s="40">
        <f>(H33/0.75)/H28</f>
        <v>0.10143953739335818</v>
      </c>
      <c r="I58" s="40">
        <f>(I33/0.5)/I28</f>
        <v>0.10073381847904989</v>
      </c>
      <c r="J58" s="29">
        <f>((J33)/0.25)/J28</f>
        <v>0.10665767039925261</v>
      </c>
      <c r="K58" s="26">
        <f>K33/K28</f>
        <v>0.10592417724944247</v>
      </c>
      <c r="L58" s="26">
        <f>L33/L27</f>
        <v>0.06481017631746967</v>
      </c>
    </row>
    <row r="59" spans="1:12" ht="11.25">
      <c r="A59" s="1" t="s">
        <v>52</v>
      </c>
      <c r="B59" s="22"/>
      <c r="C59" s="40">
        <f>C34/C28</f>
        <v>0.03883047104196196</v>
      </c>
      <c r="D59" s="40">
        <f>(D34/0.75)/D28</f>
        <v>0.04181452071074254</v>
      </c>
      <c r="E59" s="26">
        <f>(E34/0.5)/E28</f>
        <v>0.04570068291763153</v>
      </c>
      <c r="F59" s="26">
        <f>((F34)/0.25)/F28</f>
        <v>0.055854016747245855</v>
      </c>
      <c r="G59" s="41">
        <f>G34/G28</f>
        <v>0.0644224701497409</v>
      </c>
      <c r="H59" s="40">
        <f>(H34/0.75)/H28</f>
        <v>0.059699061348319184</v>
      </c>
      <c r="I59" s="40">
        <f>(I34/0.5)/I28</f>
        <v>0.05910807200326955</v>
      </c>
      <c r="J59" s="29">
        <f>((J34)/0.25)/J28</f>
        <v>0.061918540528617214</v>
      </c>
      <c r="K59" s="26">
        <f>K34/K28</f>
        <v>0.06148429456973746</v>
      </c>
      <c r="L59" s="26">
        <f>L34/L27</f>
        <v>0.034104415303767004</v>
      </c>
    </row>
    <row r="60" spans="1:12" ht="11.25">
      <c r="A60" s="1" t="s">
        <v>53</v>
      </c>
      <c r="B60" s="22"/>
      <c r="C60" s="40">
        <f>C35/C28</f>
        <v>0.03723725703486392</v>
      </c>
      <c r="D60" s="40">
        <f>(D35/0.75)/D28</f>
        <v>0.03732162049895035</v>
      </c>
      <c r="E60" s="26">
        <f>(E35/0.5)/E28</f>
        <v>0.03890096810497723</v>
      </c>
      <c r="F60" s="26">
        <f>((F35)/0.25)/F28</f>
        <v>0.0415961398782193</v>
      </c>
      <c r="G60" s="41">
        <f>G35/G28</f>
        <v>0.0429172275085564</v>
      </c>
      <c r="H60" s="40">
        <f>(H35/0.75)/H28</f>
        <v>0.04174047604503899</v>
      </c>
      <c r="I60" s="40">
        <f>(I35/0.5)/I28</f>
        <v>0.04162574647578033</v>
      </c>
      <c r="J60" s="29">
        <f>((J35)/0.25)/J28</f>
        <v>0.044739129870635407</v>
      </c>
      <c r="K60" s="26">
        <f>K35/K28</f>
        <v>0.04443988267970502</v>
      </c>
      <c r="L60" s="26">
        <f>L35/L27</f>
        <v>0.030705761013702666</v>
      </c>
    </row>
    <row r="61" spans="1:12" ht="11.25">
      <c r="A61" s="1" t="s">
        <v>54</v>
      </c>
      <c r="B61" s="22"/>
      <c r="C61" s="40">
        <f>C38/C37</f>
        <v>0.6306922037669872</v>
      </c>
      <c r="D61" s="40">
        <f>(D38/0.75)/(D37/0.75)</f>
        <v>0.6088987217305801</v>
      </c>
      <c r="E61" s="26">
        <f>(E38/0.5)/(E37/0.5)</f>
        <v>0.5567659574468085</v>
      </c>
      <c r="F61" s="26">
        <f>(F38/0.25)/(F37/0.25)</f>
        <v>0.7700934579439253</v>
      </c>
      <c r="G61" s="41">
        <f>G38/G37</f>
        <v>0.4919043313881811</v>
      </c>
      <c r="H61" s="40">
        <f>(H38/0.75)/(H37/0.75)</f>
        <v>0.7896305125148987</v>
      </c>
      <c r="I61" s="40">
        <f>(I38/0.5)/(I37/0.5)</f>
        <v>0.8132975151108126</v>
      </c>
      <c r="J61" s="29">
        <f>(J38/0.25)/(J37/0.25)</f>
        <v>0.8315363881401617</v>
      </c>
      <c r="K61" s="26">
        <f>K38/K37</f>
        <v>0.5447939818772439</v>
      </c>
      <c r="L61" s="26">
        <f>L38/L37</f>
        <v>0.6406391045315039</v>
      </c>
    </row>
    <row r="62" spans="1:12" ht="11.25">
      <c r="A62" s="2" t="s">
        <v>55</v>
      </c>
      <c r="B62" s="2"/>
      <c r="C62" s="42">
        <f>C36/C28</f>
        <v>0.03189174934897979</v>
      </c>
      <c r="D62" s="42">
        <f>(D36/0.75)/D28</f>
        <v>0.023299003254186015</v>
      </c>
      <c r="E62" s="30">
        <f>(E36/0.5)/E28</f>
        <v>0.030333563133054037</v>
      </c>
      <c r="F62" s="30">
        <f>(F36/0.25)/F28</f>
        <v>0.013182776638327964</v>
      </c>
      <c r="G62" s="43">
        <f>G36/G28</f>
        <v>0.032727261423300145</v>
      </c>
      <c r="H62" s="42">
        <f>(H36/0.75)/H28</f>
        <v>0.012925294728483293</v>
      </c>
      <c r="I62" s="42">
        <f>(I36/0.5)/I28</f>
        <v>0.012870797928472523</v>
      </c>
      <c r="J62" s="32">
        <f>(J36/0.25)/J28</f>
        <v>0.013027287236113093</v>
      </c>
      <c r="K62" s="30">
        <f>K36/K28</f>
        <v>0.02832855903182764</v>
      </c>
      <c r="L62" s="30">
        <f>L36/L27</f>
        <v>0.012820588379745592</v>
      </c>
    </row>
    <row r="63" spans="1:10" ht="11.25">
      <c r="A63" s="9" t="s">
        <v>56</v>
      </c>
      <c r="G63" s="21"/>
      <c r="H63" s="22"/>
      <c r="I63" s="22"/>
      <c r="J63" s="23"/>
    </row>
    <row r="64" spans="1:12" ht="11.25">
      <c r="A64" s="1" t="s">
        <v>57</v>
      </c>
      <c r="C64" s="1">
        <v>85</v>
      </c>
      <c r="D64" s="14">
        <v>84</v>
      </c>
      <c r="E64" s="14">
        <v>86</v>
      </c>
      <c r="F64" s="14">
        <v>86</v>
      </c>
      <c r="G64" s="15">
        <v>87</v>
      </c>
      <c r="H64" s="16">
        <v>80</v>
      </c>
      <c r="I64" s="16">
        <v>80</v>
      </c>
      <c r="J64" s="17">
        <v>87</v>
      </c>
      <c r="K64" s="14">
        <v>88</v>
      </c>
      <c r="L64" s="14">
        <v>83</v>
      </c>
    </row>
    <row r="65" spans="1:12" ht="11.25">
      <c r="A65" s="1" t="s">
        <v>58</v>
      </c>
      <c r="C65" s="1">
        <v>2</v>
      </c>
      <c r="D65" s="14">
        <v>2</v>
      </c>
      <c r="E65" s="14">
        <v>2</v>
      </c>
      <c r="F65" s="14">
        <v>2</v>
      </c>
      <c r="G65" s="15">
        <v>2</v>
      </c>
      <c r="H65" s="16">
        <v>2</v>
      </c>
      <c r="I65" s="16">
        <v>2</v>
      </c>
      <c r="J65" s="17">
        <v>2</v>
      </c>
      <c r="K65" s="14">
        <v>2</v>
      </c>
      <c r="L65" s="14">
        <v>2</v>
      </c>
    </row>
    <row r="66" spans="1:12" ht="11.25">
      <c r="A66" s="1" t="s">
        <v>59</v>
      </c>
      <c r="C66" s="14">
        <f aca="true" t="shared" si="16" ref="C66:L66">C13/C64</f>
        <v>2304.329411764706</v>
      </c>
      <c r="D66" s="14">
        <f t="shared" si="16"/>
        <v>2066.035714285714</v>
      </c>
      <c r="E66" s="14">
        <f t="shared" si="16"/>
        <v>1830.7674418604652</v>
      </c>
      <c r="F66" s="14">
        <f t="shared" si="16"/>
        <v>1693.360465116279</v>
      </c>
      <c r="G66" s="15">
        <f t="shared" si="16"/>
        <v>1686.9080459770114</v>
      </c>
      <c r="H66" s="16">
        <f t="shared" si="16"/>
        <v>2036.3</v>
      </c>
      <c r="I66" s="16">
        <f t="shared" si="16"/>
        <v>2039.3</v>
      </c>
      <c r="J66" s="17">
        <f t="shared" si="16"/>
        <v>1690.3793103448277</v>
      </c>
      <c r="K66" s="14">
        <f t="shared" si="16"/>
        <v>1760.1477272727273</v>
      </c>
      <c r="L66" s="14">
        <f t="shared" si="16"/>
        <v>1776.8192771084337</v>
      </c>
    </row>
    <row r="67" spans="1:12" ht="11.25">
      <c r="A67" s="1" t="s">
        <v>60</v>
      </c>
      <c r="C67" s="14">
        <f aca="true" t="shared" si="17" ref="C67:L67">C17/C64</f>
        <v>2916.3058823529414</v>
      </c>
      <c r="D67" s="14">
        <f t="shared" si="17"/>
        <v>2282.785714285714</v>
      </c>
      <c r="E67" s="14">
        <f t="shared" si="17"/>
        <v>2096.6162790697676</v>
      </c>
      <c r="F67" s="14">
        <f t="shared" si="17"/>
        <v>1994.0581395348838</v>
      </c>
      <c r="G67" s="15">
        <f t="shared" si="17"/>
        <v>2303.3563218390805</v>
      </c>
      <c r="H67" s="16">
        <f t="shared" si="17"/>
        <v>2567.7</v>
      </c>
      <c r="I67" s="16">
        <f t="shared" si="17"/>
        <v>2411.95</v>
      </c>
      <c r="J67" s="17">
        <f t="shared" si="17"/>
        <v>2018.367816091954</v>
      </c>
      <c r="K67" s="14">
        <f t="shared" si="17"/>
        <v>2217.0227272727275</v>
      </c>
      <c r="L67" s="14">
        <f t="shared" si="17"/>
        <v>2852.3373493975905</v>
      </c>
    </row>
    <row r="68" spans="1:12" ht="11.25">
      <c r="A68" s="2" t="s">
        <v>61</v>
      </c>
      <c r="B68" s="2"/>
      <c r="C68" s="18">
        <f aca="true" t="shared" si="18" ref="C68:L68">(C40/C64)</f>
        <v>3.5058823529411764</v>
      </c>
      <c r="D68" s="18">
        <f t="shared" si="18"/>
        <v>20.61904761904762</v>
      </c>
      <c r="E68" s="18">
        <f t="shared" si="18"/>
        <v>13.418604651162791</v>
      </c>
      <c r="F68" s="18">
        <f t="shared" si="18"/>
        <v>5.72093023255814</v>
      </c>
      <c r="G68" s="19">
        <f t="shared" si="18"/>
        <v>-2.264367816091954</v>
      </c>
      <c r="H68" s="18">
        <f t="shared" si="18"/>
        <v>17.6375</v>
      </c>
      <c r="I68" s="18">
        <f t="shared" si="18"/>
        <v>10.4125</v>
      </c>
      <c r="J68" s="20">
        <f t="shared" si="18"/>
        <v>4.2988505747126435</v>
      </c>
      <c r="K68" s="18">
        <f t="shared" si="18"/>
        <v>10.329545454545455</v>
      </c>
      <c r="L68" s="18">
        <f t="shared" si="18"/>
        <v>43.93975903614458</v>
      </c>
    </row>
    <row r="69" spans="1:10" ht="11.25">
      <c r="A69" s="9" t="s">
        <v>62</v>
      </c>
      <c r="G69" s="21"/>
      <c r="H69" s="22"/>
      <c r="I69" s="22"/>
      <c r="J69" s="23"/>
    </row>
    <row r="70" spans="1:12" ht="11.25">
      <c r="A70" s="1" t="s">
        <v>63</v>
      </c>
      <c r="C70" s="26">
        <f>(C11/G11)-1</f>
        <v>0.1434622422638303</v>
      </c>
      <c r="D70" s="26">
        <f>(D11/H11)-1</f>
        <v>-0.04583997606567192</v>
      </c>
      <c r="E70" s="26">
        <f>(E11/I11)-1</f>
        <v>-0.048118383229334594</v>
      </c>
      <c r="F70" s="26">
        <f>(F11/J11)-1</f>
        <v>-0.022916823555990673</v>
      </c>
      <c r="G70" s="27">
        <f>(G11/K11)-1</f>
        <v>0.0615950984090643</v>
      </c>
      <c r="H70" s="28">
        <f>(H11/257946)-1</f>
        <v>-0.054061702837027936</v>
      </c>
      <c r="I70" s="28">
        <f>(I11/263030)-1</f>
        <v>-0.13238794053910197</v>
      </c>
      <c r="J70" s="29">
        <f>(J11/255437)-1</f>
        <v>-0.16823326299635522</v>
      </c>
      <c r="K70" s="26">
        <f>(K11/L11)-1</f>
        <v>-0.152456974013517</v>
      </c>
      <c r="L70" s="26">
        <f>(L11/236922)-1</f>
        <v>0.14849190872945517</v>
      </c>
    </row>
    <row r="71" spans="1:12" ht="11.25">
      <c r="A71" s="1" t="s">
        <v>64</v>
      </c>
      <c r="C71" s="26">
        <f aca="true" t="shared" si="19" ref="C71:E73">(C13/G13)-1</f>
        <v>0.3346052425371864</v>
      </c>
      <c r="D71" s="26">
        <f t="shared" si="19"/>
        <v>0.0653329568334724</v>
      </c>
      <c r="E71" s="26">
        <f t="shared" si="19"/>
        <v>-0.034926200166723875</v>
      </c>
      <c r="F71" s="26">
        <f>F13/J13-1</f>
        <v>-0.009750923073784667</v>
      </c>
      <c r="G71" s="27">
        <f>(G13/K13)-1</f>
        <v>-0.0525007585881867</v>
      </c>
      <c r="H71" s="28">
        <f>H13/145481-1</f>
        <v>0.11976134340566813</v>
      </c>
      <c r="I71" s="28">
        <f>I13/145814-1</f>
        <v>0.1188500418341174</v>
      </c>
      <c r="J71" s="29">
        <f>J13/142296-1</f>
        <v>0.03350059031877217</v>
      </c>
      <c r="K71" s="26">
        <f>(K13/L13)-1</f>
        <v>0.0502929290189591</v>
      </c>
      <c r="L71" s="26">
        <f>L13/147773-1</f>
        <v>-0.002009839415860859</v>
      </c>
    </row>
    <row r="72" spans="2:12" ht="11.25">
      <c r="B72" s="1" t="s">
        <v>15</v>
      </c>
      <c r="C72" s="26">
        <f t="shared" si="19"/>
        <v>0.31477974708681744</v>
      </c>
      <c r="D72" s="26">
        <f t="shared" si="19"/>
        <v>0.09586065198330118</v>
      </c>
      <c r="E72" s="26">
        <f t="shared" si="19"/>
        <v>0.014305309290421953</v>
      </c>
      <c r="F72" s="26">
        <f>(F14/J14)-1</f>
        <v>0.014672275512729094</v>
      </c>
      <c r="G72" s="27">
        <f>(G14/K14)-1</f>
        <v>-0.021859477758969903</v>
      </c>
      <c r="H72" s="28">
        <f>(H14/129585)-1</f>
        <v>0.1793494617432574</v>
      </c>
      <c r="I72" s="28">
        <f>(I14/129697)-1</f>
        <v>0.1523396840327842</v>
      </c>
      <c r="J72" s="29">
        <f>(J14/125016)-1</f>
        <v>0.0990753183592501</v>
      </c>
      <c r="K72" s="26">
        <f>(K14/L14)-1</f>
        <v>0.07845968532331793</v>
      </c>
      <c r="L72" s="26">
        <f>(L14/134845)-1</f>
        <v>-0.008780451629648911</v>
      </c>
    </row>
    <row r="73" spans="2:12" ht="11.25">
      <c r="B73" s="1" t="s">
        <v>16</v>
      </c>
      <c r="C73" s="26">
        <f t="shared" si="19"/>
        <v>0.8195697432338653</v>
      </c>
      <c r="D73" s="26">
        <f t="shared" si="19"/>
        <v>-0.3975987299067275</v>
      </c>
      <c r="E73" s="26">
        <f t="shared" si="19"/>
        <v>-0.5724304185842648</v>
      </c>
      <c r="F73" s="26">
        <f>(F15/J15)-1</f>
        <v>-0.35710588965945556</v>
      </c>
      <c r="G73" s="27">
        <f>(G15/K15)-1</f>
        <v>-0.4635644485807352</v>
      </c>
      <c r="H73" s="28">
        <f>(H15/15895)-1</f>
        <v>-0.3659641396665618</v>
      </c>
      <c r="I73" s="28">
        <f>(I15/16117)-1</f>
        <v>-0.15064838369423594</v>
      </c>
      <c r="J73" s="29">
        <f>(J15/17280)-1</f>
        <v>-0.4409143518518519</v>
      </c>
      <c r="K73" s="26">
        <f>(K15/L15)-1</f>
        <v>-0.2222222222222222</v>
      </c>
      <c r="L73" s="26">
        <f>(L15/12928)-1</f>
        <v>0.06861076732673266</v>
      </c>
    </row>
    <row r="74" spans="1:12" ht="11.25">
      <c r="A74" s="1" t="s">
        <v>65</v>
      </c>
      <c r="C74" s="26">
        <f aca="true" t="shared" si="20" ref="C74:G75">(C17/G17)-1</f>
        <v>0.23700546928021082</v>
      </c>
      <c r="D74" s="26">
        <f t="shared" si="20"/>
        <v>-0.06650893796004209</v>
      </c>
      <c r="E74" s="26">
        <f t="shared" si="20"/>
        <v>-0.06554343995522294</v>
      </c>
      <c r="F74" s="26">
        <f t="shared" si="20"/>
        <v>-0.023400038724814665</v>
      </c>
      <c r="G74" s="27">
        <f t="shared" si="20"/>
        <v>0.02713508083117211</v>
      </c>
      <c r="H74" s="28">
        <f>H17/183926-1</f>
        <v>0.11684046844926765</v>
      </c>
      <c r="I74" s="28">
        <f>I17/228439-1</f>
        <v>-0.15532811822849868</v>
      </c>
      <c r="J74" s="29">
        <f>J17/220353-1</f>
        <v>-0.20310592549227835</v>
      </c>
      <c r="K74" s="26">
        <f>(K17/L17)-1</f>
        <v>-0.17591153313283547</v>
      </c>
      <c r="L74" s="26">
        <f>L17/204408-1</f>
        <v>0.15819341708739376</v>
      </c>
    </row>
    <row r="75" spans="2:12" ht="11.25">
      <c r="B75" s="1" t="s">
        <v>15</v>
      </c>
      <c r="C75" s="26">
        <f t="shared" si="20"/>
        <v>0.04999650959860391</v>
      </c>
      <c r="D75" s="26">
        <f t="shared" si="20"/>
        <v>-0.08901133189750299</v>
      </c>
      <c r="E75" s="26">
        <f t="shared" si="20"/>
        <v>-0.08988470005079974</v>
      </c>
      <c r="F75" s="26">
        <f t="shared" si="20"/>
        <v>-0.08599555152813243</v>
      </c>
      <c r="G75" s="27">
        <f t="shared" si="20"/>
        <v>-0.0020551046710091114</v>
      </c>
      <c r="H75" s="28">
        <f>(H18/158444)-1</f>
        <v>-0.17069122213526544</v>
      </c>
      <c r="I75" s="28">
        <f>(I18/181081)-1</f>
        <v>-0.282519977247751</v>
      </c>
      <c r="J75" s="29">
        <f>(J18/187497)-1</f>
        <v>-0.35257630788759287</v>
      </c>
      <c r="K75" s="26">
        <f>(K18/L18)-1</f>
        <v>-0.24393095856355052</v>
      </c>
      <c r="L75" s="26">
        <f>(L18/166129)-1</f>
        <v>0.14282876559781865</v>
      </c>
    </row>
    <row r="76" spans="2:12" ht="11.25">
      <c r="B76" s="1" t="s">
        <v>16</v>
      </c>
      <c r="C76" s="26">
        <f>(C22/G22)-1</f>
        <v>0.7058205873088097</v>
      </c>
      <c r="D76" s="26">
        <f>(D22/H22)-1</f>
        <v>-0.026561465609251877</v>
      </c>
      <c r="E76" s="26">
        <f>(E22/I22)-1</f>
        <v>-0.015372656026906073</v>
      </c>
      <c r="F76" s="26">
        <f>(F22/J22)-1</f>
        <v>0.1167724321133412</v>
      </c>
      <c r="G76" s="27">
        <f>(G22/K22)-1</f>
        <v>0.1084127014916687</v>
      </c>
      <c r="H76" s="28">
        <f>(H22/25482)-1</f>
        <v>1.9046778117887135</v>
      </c>
      <c r="I76" s="28">
        <f>(I22/47358)-1</f>
        <v>0.3310106001098019</v>
      </c>
      <c r="J76" s="29">
        <f>(J22/32856)-1</f>
        <v>0.6498660822985147</v>
      </c>
      <c r="K76" s="26">
        <f>(K22/L22)-1</f>
        <v>0.09951585727387124</v>
      </c>
      <c r="L76" s="26">
        <f>(L22/38279)-1</f>
        <v>0.22487525797434627</v>
      </c>
    </row>
    <row r="77" spans="1:12" ht="11.25">
      <c r="A77" s="1" t="s">
        <v>66</v>
      </c>
      <c r="C77" s="26">
        <f>(C25/G25)-1</f>
        <v>0.010548838135044925</v>
      </c>
      <c r="D77" s="26">
        <f>(D25/H25)-1</f>
        <v>0.0018429782528566196</v>
      </c>
      <c r="E77" s="26">
        <f>(E25/I25)-1</f>
        <v>0.0011321822813472604</v>
      </c>
      <c r="F77" s="26">
        <f>(F25/J25)-1</f>
        <v>-0.04902867715078629</v>
      </c>
      <c r="G77" s="27">
        <f>(G25/K25)-1</f>
        <v>-0.08712241653418129</v>
      </c>
      <c r="H77" s="28">
        <f>(H25/21750)-1</f>
        <v>-0.002114942528735675</v>
      </c>
      <c r="I77" s="28">
        <f>(I25/20359)-1</f>
        <v>0.04121027555380907</v>
      </c>
      <c r="J77" s="29">
        <f>(J25/24119)-1</f>
        <v>-0.10361126083170946</v>
      </c>
      <c r="K77" s="26">
        <f>(K25/L25)-1</f>
        <v>-0.06897572528123153</v>
      </c>
      <c r="L77" s="26">
        <f>(L25/22075)-1</f>
        <v>0.07116647791619468</v>
      </c>
    </row>
    <row r="78" spans="1:12" ht="11.25">
      <c r="A78" s="2" t="s">
        <v>67</v>
      </c>
      <c r="B78" s="2"/>
      <c r="C78" s="30">
        <f>(C40/G40)-1</f>
        <v>-2.5126903553299496</v>
      </c>
      <c r="D78" s="30">
        <f>(D40/H40)-1</f>
        <v>0.22749822820694532</v>
      </c>
      <c r="E78" s="30">
        <f>(E40/I40)-1</f>
        <v>0.3853541416566626</v>
      </c>
      <c r="F78" s="30">
        <f>(F40/J40)-1</f>
        <v>0.31550802139037426</v>
      </c>
      <c r="G78" s="31">
        <f>(G40/K40)-1</f>
        <v>-1.2167216721672167</v>
      </c>
      <c r="H78" s="30">
        <f>(H40/1831)-1</f>
        <v>-0.22938285090114696</v>
      </c>
      <c r="I78" s="30">
        <f>(I40/441)-1</f>
        <v>0.8888888888888888</v>
      </c>
      <c r="J78" s="32">
        <f>(J40/472)-1</f>
        <v>-0.2076271186440678</v>
      </c>
      <c r="K78" s="30">
        <f>(K40/L40)-1</f>
        <v>-0.7507540444200713</v>
      </c>
      <c r="L78" s="30">
        <f>(L40/3158)-1</f>
        <v>0.1548448385053831</v>
      </c>
    </row>
  </sheetData>
  <sheetProtection password="CD66" sheet="1" objects="1" scenarios="1"/>
  <mergeCells count="7">
    <mergeCell ref="K8:L8"/>
    <mergeCell ref="C8:F8"/>
    <mergeCell ref="C4:I4"/>
    <mergeCell ref="C3:I3"/>
    <mergeCell ref="C2:I2"/>
    <mergeCell ref="C5:I5"/>
    <mergeCell ref="G8:J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4338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2002-03-19T20:18:50Z</dcterms:created>
  <dcterms:modified xsi:type="dcterms:W3CDTF">2002-07-12T13:56:49Z</dcterms:modified>
  <cp:category/>
  <cp:version/>
  <cp:contentType/>
  <cp:contentStatus/>
</cp:coreProperties>
</file>