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HSBC USA" sheetId="1" r:id="rId1"/>
  </sheets>
  <definedNames/>
  <calcPr fullCalcOnLoad="1"/>
</workbook>
</file>

<file path=xl/sharedStrings.xml><?xml version="1.0" encoding="utf-8"?>
<sst xmlns="http://schemas.openxmlformats.org/spreadsheetml/2006/main" count="86" uniqueCount="70">
  <si>
    <t>CUADRO No. 18-27</t>
  </si>
  <si>
    <t>HSBC BANK USA (1)</t>
  </si>
  <si>
    <t>ESTADISTICA FINANCIERA. AÑO  1999, TRIMESTRES DE 2000 Y 2001</t>
  </si>
  <si>
    <t>(En miles de balboas)</t>
  </si>
  <si>
    <t xml:space="preserve">Año 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</si>
  <si>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</si>
  <si>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</si>
  <si>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</si>
  <si>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</si>
  <si>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</si>
  <si>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</si>
  <si>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</si>
  <si>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</si>
  <si>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</si>
  <si>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</si>
  <si>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</si>
  <si>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</si>
  <si>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</si>
  <si>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</si>
  <si>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</si>
  <si>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</si>
  <si>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</si>
  <si>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</si>
  <si>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</si>
  <si>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</si>
  <si>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</si>
  <si>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</si>
  <si>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</si>
  <si>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</si>
  <si>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</si>
  <si>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</si>
  <si>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</si>
  <si>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</si>
  <si>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</si>
  <si>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</si>
  <si>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</si>
  <si>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</si>
  <si>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</si>
  <si>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</si>
  <si>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</si>
  <si>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</si>
  <si>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Activos Generadores de Ingreso</t>
  </si>
  <si>
    <t>Patrimonio /Préstamos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</si>
  <si>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</si>
  <si>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</si>
  <si>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</si>
  <si>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</si>
  <si>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</si>
  <si>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</si>
  <si>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</si>
  <si>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</si>
  <si>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</si>
  <si>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</si>
  <si>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</si>
  <si>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</si>
  <si>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</si>
  <si>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</si>
  <si>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</si>
  <si>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</si>
  <si>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</si>
  <si>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</si>
  <si>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</si>
  <si>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</si>
  <si>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</si>
  <si>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</si>
  <si>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</si>
  <si>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</si>
  <si>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</si>
  <si>
    <t>Nota:</t>
  </si>
  <si>
    <t>(1) Antes Chase Manhattan Bank.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</si>
</sst>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_(* #,##0.0_);_(* \(#,##0.0\);_(* &quot;-&quot;??_);_(@_)"/>
    <numFmt numFmtId="189" formatCode="_(* #,##0_);_(* \(#,##0\);_(* &quot;-&quot;??_);_(@_)"/>
    <numFmt numFmtId="190" formatCode="_(* #,##0.000_);_(* \(#,##0.000\);_(* &quot;-&quot;??_);_(@_)"/>
    <numFmt numFmtId="191" formatCode="0.0%"/>
    <numFmt numFmtId="192" formatCode="_(* #,##0.0000_);_(* \(#,##0.0000\);_(* &quot;-&quot;??_);_(@_)"/>
    <numFmt numFmtId="193" formatCode="0.00000"/>
    <numFmt numFmtId="194" formatCode="0.0000"/>
    <numFmt numFmtId="195" formatCode="0.000"/>
    <numFmt numFmtId="196" formatCode="0.0"/>
    <numFmt numFmtId="197" formatCode="#,##0.0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189" fontId="1" fillId="0" borderId="6" xfId="15" applyNumberFormat="1" applyFont="1" applyBorder="1" applyAlignment="1">
      <alignment/>
    </xf>
    <xf numFmtId="189" fontId="1" fillId="0" borderId="0" xfId="15" applyNumberFormat="1" applyFont="1" applyBorder="1" applyAlignment="1">
      <alignment/>
    </xf>
    <xf numFmtId="189" fontId="1" fillId="0" borderId="7" xfId="15" applyNumberFormat="1" applyFont="1" applyBorder="1" applyAlignment="1">
      <alignment/>
    </xf>
    <xf numFmtId="189" fontId="1" fillId="0" borderId="0" xfId="15" applyNumberFormat="1" applyFont="1" applyAlignment="1">
      <alignment/>
    </xf>
    <xf numFmtId="189" fontId="2" fillId="0" borderId="0" xfId="15" applyNumberFormat="1" applyFont="1" applyAlignment="1">
      <alignment/>
    </xf>
    <xf numFmtId="189" fontId="2" fillId="0" borderId="6" xfId="15" applyNumberFormat="1" applyFont="1" applyBorder="1" applyAlignment="1">
      <alignment/>
    </xf>
    <xf numFmtId="189" fontId="2" fillId="0" borderId="0" xfId="15" applyNumberFormat="1" applyFont="1" applyBorder="1" applyAlignment="1">
      <alignment/>
    </xf>
    <xf numFmtId="189" fontId="2" fillId="0" borderId="7" xfId="15" applyNumberFormat="1" applyFont="1" applyBorder="1" applyAlignment="1">
      <alignment/>
    </xf>
    <xf numFmtId="189" fontId="2" fillId="0" borderId="1" xfId="15" applyNumberFormat="1" applyFont="1" applyBorder="1" applyAlignment="1">
      <alignment/>
    </xf>
    <xf numFmtId="189" fontId="2" fillId="0" borderId="4" xfId="15" applyNumberFormat="1" applyFont="1" applyBorder="1" applyAlignment="1">
      <alignment/>
    </xf>
    <xf numFmtId="189" fontId="2" fillId="0" borderId="5" xfId="15" applyNumberFormat="1" applyFont="1" applyBorder="1" applyAlignment="1">
      <alignment/>
    </xf>
    <xf numFmtId="189" fontId="2" fillId="0" borderId="0" xfId="15" applyNumberFormat="1" applyFont="1" applyBorder="1" applyAlignment="1">
      <alignment horizontal="right"/>
    </xf>
    <xf numFmtId="189" fontId="2" fillId="0" borderId="1" xfId="15" applyNumberFormat="1" applyFont="1" applyBorder="1" applyAlignment="1">
      <alignment horizontal="right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89" fontId="2" fillId="0" borderId="0" xfId="0" applyNumberFormat="1" applyFont="1" applyAlignment="1">
      <alignment/>
    </xf>
    <xf numFmtId="189" fontId="2" fillId="0" borderId="1" xfId="0" applyNumberFormat="1" applyFont="1" applyBorder="1" applyAlignment="1">
      <alignment/>
    </xf>
    <xf numFmtId="10" fontId="2" fillId="0" borderId="0" xfId="19" applyNumberFormat="1" applyFont="1" applyAlignment="1">
      <alignment/>
    </xf>
    <xf numFmtId="10" fontId="2" fillId="0" borderId="6" xfId="19" applyNumberFormat="1" applyFont="1" applyBorder="1" applyAlignment="1">
      <alignment/>
    </xf>
    <xf numFmtId="10" fontId="2" fillId="0" borderId="0" xfId="19" applyNumberFormat="1" applyFont="1" applyBorder="1" applyAlignment="1">
      <alignment/>
    </xf>
    <xf numFmtId="10" fontId="2" fillId="0" borderId="7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91" fontId="2" fillId="0" borderId="0" xfId="19" applyNumberFormat="1" applyFont="1" applyAlignment="1">
      <alignment/>
    </xf>
    <xf numFmtId="191" fontId="2" fillId="0" borderId="6" xfId="19" applyNumberFormat="1" applyFont="1" applyBorder="1" applyAlignment="1">
      <alignment/>
    </xf>
    <xf numFmtId="191" fontId="2" fillId="0" borderId="0" xfId="19" applyNumberFormat="1" applyFont="1" applyBorder="1" applyAlignment="1">
      <alignment/>
    </xf>
    <xf numFmtId="191" fontId="2" fillId="0" borderId="7" xfId="19" applyNumberFormat="1" applyFont="1" applyBorder="1" applyAlignment="1">
      <alignment/>
    </xf>
    <xf numFmtId="191" fontId="2" fillId="0" borderId="1" xfId="19" applyNumberFormat="1" applyFont="1" applyBorder="1" applyAlignment="1">
      <alignment/>
    </xf>
    <xf numFmtId="191" fontId="2" fillId="0" borderId="4" xfId="19" applyNumberFormat="1" applyFont="1" applyBorder="1" applyAlignment="1">
      <alignment/>
    </xf>
    <xf numFmtId="191" fontId="2" fillId="0" borderId="5" xfId="19" applyNumberFormat="1" applyFont="1" applyBorder="1" applyAlignment="1">
      <alignment/>
    </xf>
    <xf numFmtId="10" fontId="2" fillId="0" borderId="0" xfId="19" applyNumberFormat="1" applyFont="1" applyFill="1" applyBorder="1" applyAlignment="1">
      <alignment/>
    </xf>
    <xf numFmtId="10" fontId="2" fillId="0" borderId="6" xfId="19" applyNumberFormat="1" applyFont="1" applyFill="1" applyBorder="1" applyAlignment="1">
      <alignment/>
    </xf>
    <xf numFmtId="10" fontId="2" fillId="0" borderId="1" xfId="19" applyNumberFormat="1" applyFont="1" applyFill="1" applyBorder="1" applyAlignment="1">
      <alignment/>
    </xf>
    <xf numFmtId="10" fontId="2" fillId="0" borderId="4" xfId="19" applyNumberFormat="1" applyFont="1" applyFill="1" applyBorder="1" applyAlignment="1">
      <alignment/>
    </xf>
    <xf numFmtId="179" fontId="2" fillId="0" borderId="0" xfId="19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2" fillId="0" borderId="4" xfId="15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1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0" sqref="B10"/>
    </sheetView>
  </sheetViews>
  <sheetFormatPr defaultColWidth="11.421875" defaultRowHeight="12.75"/>
  <cols>
    <col min="1" max="1" width="2.00390625" style="1" customWidth="1"/>
    <col min="2" max="2" width="40.7109375" style="1" customWidth="1"/>
    <col min="3" max="6" width="9.00390625" style="1" bestFit="1" customWidth="1"/>
    <col min="7" max="7" width="7.7109375" style="1" bestFit="1" customWidth="1"/>
    <col min="8" max="8" width="8.7109375" style="1" bestFit="1" customWidth="1"/>
    <col min="9" max="10" width="9.00390625" style="1" bestFit="1" customWidth="1"/>
    <col min="11" max="11" width="7.421875" style="1" customWidth="1"/>
    <col min="12" max="12" width="0.85546875" style="1" hidden="1" customWidth="1"/>
    <col min="13" max="16384" width="11.421875" style="1" customWidth="1"/>
  </cols>
  <sheetData>
    <row r="1" ht="11.25"/>
    <row r="2" spans="2:12" ht="12.75" customHeight="1">
      <c r="B2" s="48"/>
      <c r="C2" s="52" t="s">
        <v>0</v>
      </c>
      <c r="D2" s="52"/>
      <c r="E2" s="52"/>
      <c r="F2" s="52"/>
      <c r="G2" s="52"/>
      <c r="H2" s="52"/>
      <c r="I2" s="48"/>
      <c r="J2" s="48"/>
      <c r="K2" s="48"/>
      <c r="L2" s="48"/>
    </row>
    <row r="3" spans="2:12" ht="12.75" customHeight="1">
      <c r="B3" s="48"/>
      <c r="C3" s="52" t="s">
        <v>1</v>
      </c>
      <c r="D3" s="52"/>
      <c r="E3" s="52"/>
      <c r="F3" s="52"/>
      <c r="G3" s="52"/>
      <c r="H3" s="52"/>
      <c r="I3" s="48"/>
      <c r="J3" s="48"/>
      <c r="K3" s="48"/>
      <c r="L3" s="48"/>
    </row>
    <row r="4" spans="2:12" ht="12.75" customHeight="1">
      <c r="B4" s="48"/>
      <c r="C4" s="52" t="s">
        <v>2</v>
      </c>
      <c r="D4" s="52"/>
      <c r="E4" s="52"/>
      <c r="F4" s="52"/>
      <c r="G4" s="52"/>
      <c r="H4" s="52"/>
      <c r="I4" s="48"/>
      <c r="J4" s="48"/>
      <c r="K4" s="48"/>
      <c r="L4" s="48"/>
    </row>
    <row r="5" spans="2:12" ht="12.75" customHeight="1">
      <c r="B5" s="47"/>
      <c r="C5" s="53" t="s">
        <v>3</v>
      </c>
      <c r="D5" s="53"/>
      <c r="E5" s="53"/>
      <c r="F5" s="53"/>
      <c r="G5" s="53"/>
      <c r="H5" s="53"/>
      <c r="I5" s="47"/>
      <c r="J5" s="47"/>
      <c r="K5" s="47"/>
      <c r="L5" s="47"/>
    </row>
    <row r="6" spans="1:12" ht="11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1.25">
      <c r="A8" s="3"/>
      <c r="B8" s="3"/>
      <c r="C8" s="50">
        <v>2001</v>
      </c>
      <c r="D8" s="50"/>
      <c r="E8" s="50"/>
      <c r="F8" s="51"/>
      <c r="G8" s="54">
        <v>2000</v>
      </c>
      <c r="H8" s="50"/>
      <c r="I8" s="50"/>
      <c r="J8" s="51"/>
      <c r="K8" s="50" t="s">
        <v>4</v>
      </c>
      <c r="L8" s="50"/>
    </row>
    <row r="9" spans="1:12" ht="11.25">
      <c r="A9" s="4"/>
      <c r="B9" s="4"/>
      <c r="C9" s="5" t="s">
        <v>5</v>
      </c>
      <c r="D9" s="4" t="s">
        <v>6</v>
      </c>
      <c r="E9" s="4" t="s">
        <v>7</v>
      </c>
      <c r="F9" s="4" t="s">
        <v>8</v>
      </c>
      <c r="G9" s="6" t="s">
        <v>5</v>
      </c>
      <c r="H9" s="4" t="s">
        <v>6</v>
      </c>
      <c r="I9" s="4" t="s">
        <v>7</v>
      </c>
      <c r="J9" s="7" t="s">
        <v>8</v>
      </c>
      <c r="K9" s="8" t="s">
        <v>9</v>
      </c>
      <c r="L9" s="8" t="s">
        <v>10</v>
      </c>
    </row>
    <row r="10" spans="1:12" ht="11.25">
      <c r="A10" s="9" t="s">
        <v>11</v>
      </c>
      <c r="B10" s="9"/>
      <c r="C10" s="9"/>
      <c r="D10" s="9"/>
      <c r="E10" s="9"/>
      <c r="F10" s="9"/>
      <c r="G10" s="10"/>
      <c r="H10" s="11"/>
      <c r="I10" s="11"/>
      <c r="J10" s="12"/>
      <c r="K10" s="13"/>
      <c r="L10" s="13"/>
    </row>
    <row r="11" spans="1:12" ht="11.25">
      <c r="A11" s="1" t="s">
        <v>12</v>
      </c>
      <c r="C11" s="14">
        <v>1261032</v>
      </c>
      <c r="D11" s="14">
        <v>1186313</v>
      </c>
      <c r="E11" s="14">
        <v>1214325</v>
      </c>
      <c r="F11" s="14">
        <v>1211470</v>
      </c>
      <c r="G11" s="15">
        <v>895262</v>
      </c>
      <c r="H11" s="16">
        <v>880647</v>
      </c>
      <c r="I11" s="16">
        <v>1096181</v>
      </c>
      <c r="J11" s="17">
        <v>1094188</v>
      </c>
      <c r="K11" s="14">
        <v>1104535</v>
      </c>
      <c r="L11" s="14">
        <v>1025323</v>
      </c>
    </row>
    <row r="12" spans="1:12" ht="11.25">
      <c r="A12" s="1" t="s">
        <v>13</v>
      </c>
      <c r="C12" s="14">
        <v>255822</v>
      </c>
      <c r="D12" s="14">
        <v>148777</v>
      </c>
      <c r="E12" s="14">
        <v>199386</v>
      </c>
      <c r="F12" s="14">
        <v>209306</v>
      </c>
      <c r="G12" s="15">
        <v>147002</v>
      </c>
      <c r="H12" s="16">
        <v>157027</v>
      </c>
      <c r="I12" s="16">
        <v>429073</v>
      </c>
      <c r="J12" s="17">
        <v>425785</v>
      </c>
      <c r="K12" s="14">
        <v>446648</v>
      </c>
      <c r="L12" s="14">
        <v>424826</v>
      </c>
    </row>
    <row r="13" spans="1:12" ht="11.25">
      <c r="A13" s="1" t="s">
        <v>14</v>
      </c>
      <c r="C13" s="14">
        <f aca="true" t="shared" si="0" ref="C13:L13">C14+C15</f>
        <v>840069</v>
      </c>
      <c r="D13" s="14">
        <f t="shared" si="0"/>
        <v>875577</v>
      </c>
      <c r="E13" s="14">
        <f t="shared" si="0"/>
        <v>863723</v>
      </c>
      <c r="F13" s="14">
        <f t="shared" si="0"/>
        <v>849909</v>
      </c>
      <c r="G13" s="15">
        <f t="shared" si="0"/>
        <v>607131</v>
      </c>
      <c r="H13" s="16">
        <f t="shared" si="0"/>
        <v>600802</v>
      </c>
      <c r="I13" s="16">
        <f t="shared" si="0"/>
        <v>623306</v>
      </c>
      <c r="J13" s="17">
        <f t="shared" si="0"/>
        <v>618234</v>
      </c>
      <c r="K13" s="14">
        <f t="shared" si="0"/>
        <v>599419</v>
      </c>
      <c r="L13" s="14">
        <f t="shared" si="0"/>
        <v>555930</v>
      </c>
    </row>
    <row r="14" spans="2:12" ht="11.25">
      <c r="B14" s="1" t="s">
        <v>15</v>
      </c>
      <c r="C14" s="14">
        <v>839870</v>
      </c>
      <c r="D14" s="14">
        <v>875511</v>
      </c>
      <c r="E14" s="14">
        <v>863718</v>
      </c>
      <c r="F14" s="14">
        <v>849904</v>
      </c>
      <c r="G14" s="15">
        <v>607131</v>
      </c>
      <c r="H14" s="16">
        <v>600802</v>
      </c>
      <c r="I14" s="16">
        <v>623306</v>
      </c>
      <c r="J14" s="17">
        <v>618234</v>
      </c>
      <c r="K14" s="14">
        <v>599419</v>
      </c>
      <c r="L14" s="14">
        <v>555927</v>
      </c>
    </row>
    <row r="15" spans="2:12" ht="11.25">
      <c r="B15" s="1" t="s">
        <v>16</v>
      </c>
      <c r="C15" s="14">
        <v>199</v>
      </c>
      <c r="D15" s="14">
        <v>66</v>
      </c>
      <c r="E15" s="14">
        <v>5</v>
      </c>
      <c r="F15" s="14">
        <v>5</v>
      </c>
      <c r="G15" s="15">
        <v>0</v>
      </c>
      <c r="H15" s="16">
        <v>0</v>
      </c>
      <c r="I15" s="16">
        <v>0</v>
      </c>
      <c r="J15" s="17">
        <v>0</v>
      </c>
      <c r="K15" s="14">
        <v>0</v>
      </c>
      <c r="L15" s="14">
        <v>3</v>
      </c>
    </row>
    <row r="16" spans="1:12" ht="11.25">
      <c r="A16" s="1" t="s">
        <v>17</v>
      </c>
      <c r="C16" s="14">
        <v>62514</v>
      </c>
      <c r="D16" s="14">
        <v>56885</v>
      </c>
      <c r="E16" s="14">
        <v>40834</v>
      </c>
      <c r="F16" s="14">
        <v>49546</v>
      </c>
      <c r="G16" s="15">
        <v>17520</v>
      </c>
      <c r="H16" s="16">
        <v>6173</v>
      </c>
      <c r="I16" s="16">
        <v>6570</v>
      </c>
      <c r="J16" s="17">
        <v>6601</v>
      </c>
      <c r="K16" s="14">
        <v>7028</v>
      </c>
      <c r="L16" s="14">
        <v>8491</v>
      </c>
    </row>
    <row r="17" spans="1:12" ht="11.25">
      <c r="A17" s="1" t="s">
        <v>18</v>
      </c>
      <c r="C17" s="14">
        <f aca="true" t="shared" si="1" ref="C17:L17">C18+C22</f>
        <v>1066613</v>
      </c>
      <c r="D17" s="14">
        <f t="shared" si="1"/>
        <v>1000741</v>
      </c>
      <c r="E17" s="14">
        <f t="shared" si="1"/>
        <v>1040079</v>
      </c>
      <c r="F17" s="14">
        <f t="shared" si="1"/>
        <v>1030743</v>
      </c>
      <c r="G17" s="15">
        <f t="shared" si="1"/>
        <v>751214</v>
      </c>
      <c r="H17" s="16">
        <f t="shared" si="1"/>
        <v>828491</v>
      </c>
      <c r="I17" s="16">
        <f t="shared" si="1"/>
        <v>1043703</v>
      </c>
      <c r="J17" s="17">
        <f t="shared" si="1"/>
        <v>1031970</v>
      </c>
      <c r="K17" s="14">
        <f t="shared" si="1"/>
        <v>1036705</v>
      </c>
      <c r="L17" s="14">
        <f t="shared" si="1"/>
        <v>954089</v>
      </c>
    </row>
    <row r="18" spans="2:12" ht="11.25">
      <c r="B18" s="1" t="s">
        <v>15</v>
      </c>
      <c r="C18" s="14">
        <f aca="true" t="shared" si="2" ref="C18:L18">SUM(C19:C21)</f>
        <v>720700</v>
      </c>
      <c r="D18" s="14">
        <f t="shared" si="2"/>
        <v>682684</v>
      </c>
      <c r="E18" s="14">
        <f t="shared" si="2"/>
        <v>760798</v>
      </c>
      <c r="F18" s="14">
        <f t="shared" si="2"/>
        <v>759733</v>
      </c>
      <c r="G18" s="15">
        <f t="shared" si="2"/>
        <v>606880</v>
      </c>
      <c r="H18" s="16">
        <f t="shared" si="2"/>
        <v>593616</v>
      </c>
      <c r="I18" s="16">
        <f t="shared" si="2"/>
        <v>624830</v>
      </c>
      <c r="J18" s="17">
        <f t="shared" si="2"/>
        <v>608807</v>
      </c>
      <c r="K18" s="14">
        <f t="shared" si="2"/>
        <v>620797</v>
      </c>
      <c r="L18" s="14">
        <f t="shared" si="2"/>
        <v>534249</v>
      </c>
    </row>
    <row r="19" spans="2:12" ht="11.25">
      <c r="B19" s="1" t="s">
        <v>19</v>
      </c>
      <c r="C19" s="14">
        <v>0</v>
      </c>
      <c r="D19" s="14">
        <v>0</v>
      </c>
      <c r="E19" s="14">
        <v>0</v>
      </c>
      <c r="F19" s="14">
        <v>2</v>
      </c>
      <c r="G19" s="15">
        <v>0</v>
      </c>
      <c r="H19" s="16">
        <v>0</v>
      </c>
      <c r="I19" s="16">
        <v>0</v>
      </c>
      <c r="J19" s="17">
        <v>0</v>
      </c>
      <c r="K19" s="14">
        <v>0</v>
      </c>
      <c r="L19" s="14">
        <v>0</v>
      </c>
    </row>
    <row r="20" spans="2:12" ht="11.25">
      <c r="B20" s="1" t="s">
        <v>20</v>
      </c>
      <c r="C20" s="14">
        <f>131140+495068</f>
        <v>626208</v>
      </c>
      <c r="D20" s="14">
        <v>599944</v>
      </c>
      <c r="E20" s="14">
        <v>581618</v>
      </c>
      <c r="F20" s="14">
        <v>564173</v>
      </c>
      <c r="G20" s="15">
        <v>331524</v>
      </c>
      <c r="H20" s="16">
        <v>275592</v>
      </c>
      <c r="I20" s="16">
        <v>338003</v>
      </c>
      <c r="J20" s="17">
        <v>356200</v>
      </c>
      <c r="K20" s="14">
        <v>339535</v>
      </c>
      <c r="L20" s="14">
        <v>397855</v>
      </c>
    </row>
    <row r="21" spans="2:12" ht="11.25">
      <c r="B21" s="1" t="s">
        <v>21</v>
      </c>
      <c r="C21" s="14">
        <f>19627+74865</f>
        <v>94492</v>
      </c>
      <c r="D21" s="14">
        <v>82740</v>
      </c>
      <c r="E21" s="14">
        <v>179180</v>
      </c>
      <c r="F21" s="14">
        <v>195558</v>
      </c>
      <c r="G21" s="15">
        <v>275356</v>
      </c>
      <c r="H21" s="16">
        <v>318024</v>
      </c>
      <c r="I21" s="16">
        <v>286827</v>
      </c>
      <c r="J21" s="17">
        <v>252607</v>
      </c>
      <c r="K21" s="14">
        <v>281262</v>
      </c>
      <c r="L21" s="14">
        <v>136394</v>
      </c>
    </row>
    <row r="22" spans="2:12" ht="11.25">
      <c r="B22" s="1" t="s">
        <v>16</v>
      </c>
      <c r="C22" s="14">
        <f aca="true" t="shared" si="3" ref="C22:L22">SUM(C23:C24)</f>
        <v>345913</v>
      </c>
      <c r="D22" s="14">
        <f t="shared" si="3"/>
        <v>318057</v>
      </c>
      <c r="E22" s="14">
        <f t="shared" si="3"/>
        <v>279281</v>
      </c>
      <c r="F22" s="14">
        <f t="shared" si="3"/>
        <v>271010</v>
      </c>
      <c r="G22" s="15">
        <f t="shared" si="3"/>
        <v>144334</v>
      </c>
      <c r="H22" s="16">
        <f t="shared" si="3"/>
        <v>234875</v>
      </c>
      <c r="I22" s="16">
        <f t="shared" si="3"/>
        <v>418873</v>
      </c>
      <c r="J22" s="17">
        <f t="shared" si="3"/>
        <v>423163</v>
      </c>
      <c r="K22" s="14">
        <f t="shared" si="3"/>
        <v>415908</v>
      </c>
      <c r="L22" s="14">
        <f t="shared" si="3"/>
        <v>419840</v>
      </c>
    </row>
    <row r="23" spans="2:12" ht="11.25">
      <c r="B23" s="1" t="s">
        <v>20</v>
      </c>
      <c r="C23" s="14">
        <f>5455+103592</f>
        <v>109047</v>
      </c>
      <c r="D23" s="14">
        <v>71265</v>
      </c>
      <c r="E23" s="14">
        <v>51495</v>
      </c>
      <c r="F23" s="14">
        <v>57726</v>
      </c>
      <c r="G23" s="15">
        <v>67686</v>
      </c>
      <c r="H23" s="16">
        <v>7535</v>
      </c>
      <c r="I23" s="16">
        <v>32996</v>
      </c>
      <c r="J23" s="17">
        <v>58924</v>
      </c>
      <c r="K23" s="14">
        <v>6139</v>
      </c>
      <c r="L23" s="14">
        <v>16005</v>
      </c>
    </row>
    <row r="24" spans="2:12" ht="11.25">
      <c r="B24" s="1" t="s">
        <v>21</v>
      </c>
      <c r="C24" s="14">
        <f>2589+14382+219895</f>
        <v>236866</v>
      </c>
      <c r="D24" s="14">
        <v>246792</v>
      </c>
      <c r="E24" s="14">
        <v>227786</v>
      </c>
      <c r="F24" s="14">
        <v>213284</v>
      </c>
      <c r="G24" s="15">
        <v>76648</v>
      </c>
      <c r="H24" s="16">
        <v>227340</v>
      </c>
      <c r="I24" s="16">
        <v>385877</v>
      </c>
      <c r="J24" s="17">
        <v>364239</v>
      </c>
      <c r="K24" s="14">
        <v>409769</v>
      </c>
      <c r="L24" s="14">
        <v>403835</v>
      </c>
    </row>
    <row r="25" spans="1:12" ht="11.25">
      <c r="A25" s="2" t="s">
        <v>22</v>
      </c>
      <c r="B25" s="2"/>
      <c r="C25" s="18">
        <v>125524</v>
      </c>
      <c r="D25" s="18">
        <v>123380</v>
      </c>
      <c r="E25" s="18">
        <v>123976</v>
      </c>
      <c r="F25" s="18">
        <v>122111</v>
      </c>
      <c r="G25" s="19">
        <v>102192</v>
      </c>
      <c r="H25" s="18">
        <v>23359</v>
      </c>
      <c r="I25" s="18">
        <v>21138</v>
      </c>
      <c r="J25" s="20">
        <v>20938</v>
      </c>
      <c r="K25" s="18">
        <v>21050</v>
      </c>
      <c r="L25" s="18">
        <v>21693</v>
      </c>
    </row>
    <row r="26" spans="1:12" ht="11.25">
      <c r="A26" s="9" t="s">
        <v>23</v>
      </c>
      <c r="D26" s="14"/>
      <c r="F26" s="14"/>
      <c r="G26" s="15"/>
      <c r="H26" s="21"/>
      <c r="I26" s="16"/>
      <c r="J26" s="17"/>
      <c r="K26" s="14"/>
      <c r="L26" s="14"/>
    </row>
    <row r="27" spans="1:12" ht="11.25">
      <c r="A27" s="1" t="s">
        <v>12</v>
      </c>
      <c r="C27" s="14">
        <f>(C11+G11)/2</f>
        <v>1078147</v>
      </c>
      <c r="D27" s="14">
        <f>(D11+H11)/2</f>
        <v>1033480</v>
      </c>
      <c r="E27" s="14">
        <f>(E11+I11)/2</f>
        <v>1155253</v>
      </c>
      <c r="F27" s="14">
        <f>(F11+J11)/2</f>
        <v>1152829</v>
      </c>
      <c r="G27" s="15">
        <f>(G11+1104535)/2</f>
        <v>999898.5</v>
      </c>
      <c r="H27" s="16">
        <f>(H11+1039052)/2</f>
        <v>959849.5</v>
      </c>
      <c r="I27" s="16">
        <f>(I11+1050653)/2</f>
        <v>1073417</v>
      </c>
      <c r="J27" s="17">
        <f>(J11+1038916)/2</f>
        <v>1066552</v>
      </c>
      <c r="K27" s="14">
        <f>(K11+L11)/2</f>
        <v>1064929</v>
      </c>
      <c r="L27" s="14">
        <f>(L11+842851)/2</f>
        <v>934087</v>
      </c>
    </row>
    <row r="28" spans="1:12" ht="11.25">
      <c r="A28" s="1" t="s">
        <v>24</v>
      </c>
      <c r="C28" s="14">
        <f aca="true" t="shared" si="4" ref="C28:L28">C29+C30</f>
        <v>763617</v>
      </c>
      <c r="D28" s="14">
        <f t="shared" si="4"/>
        <v>769718.5</v>
      </c>
      <c r="E28" s="14">
        <f t="shared" si="4"/>
        <v>767216.5</v>
      </c>
      <c r="F28" s="14">
        <f t="shared" si="4"/>
        <v>762145</v>
      </c>
      <c r="G28" s="15">
        <f t="shared" si="4"/>
        <v>615549</v>
      </c>
      <c r="H28" s="16">
        <f t="shared" si="4"/>
        <v>607549</v>
      </c>
      <c r="I28" s="16">
        <f t="shared" si="4"/>
        <v>613917</v>
      </c>
      <c r="J28" s="17">
        <f t="shared" si="4"/>
        <v>598509</v>
      </c>
      <c r="K28" s="14">
        <f t="shared" si="4"/>
        <v>585434</v>
      </c>
      <c r="L28" s="14">
        <f t="shared" si="4"/>
        <v>522119.5</v>
      </c>
    </row>
    <row r="29" spans="2:12" ht="11.25">
      <c r="B29" s="1" t="s">
        <v>14</v>
      </c>
      <c r="C29" s="14">
        <f>(C13+G13)/2</f>
        <v>723600</v>
      </c>
      <c r="D29" s="14">
        <f>(D13+H13)/2</f>
        <v>738189.5</v>
      </c>
      <c r="E29" s="14">
        <f>(E13+I13)/2</f>
        <v>743514.5</v>
      </c>
      <c r="F29" s="14">
        <f>(F13+J13)/2</f>
        <v>734071.5</v>
      </c>
      <c r="G29" s="15">
        <f>(G13+K13)/2</f>
        <v>603275</v>
      </c>
      <c r="H29" s="21">
        <f>(H13+600740)/2</f>
        <v>600771</v>
      </c>
      <c r="I29" s="16">
        <f>(I13+590224)/2</f>
        <v>606765</v>
      </c>
      <c r="J29" s="17">
        <f>(J13+563734)/2</f>
        <v>590984</v>
      </c>
      <c r="K29" s="14">
        <f>(K13+L13)/2</f>
        <v>577674.5</v>
      </c>
      <c r="L29" s="14">
        <f>(L13+472003)/2</f>
        <v>513966.5</v>
      </c>
    </row>
    <row r="30" spans="2:12" ht="11.25">
      <c r="B30" s="1" t="s">
        <v>17</v>
      </c>
      <c r="C30" s="14">
        <f>(C16+G16)/2</f>
        <v>40017</v>
      </c>
      <c r="D30" s="14">
        <f>(D16+H16)/2</f>
        <v>31529</v>
      </c>
      <c r="E30" s="14">
        <f>(E16+I16)/2</f>
        <v>23702</v>
      </c>
      <c r="F30" s="14">
        <f>(F16+J16)/2</f>
        <v>28073.5</v>
      </c>
      <c r="G30" s="15">
        <f>(G16+K16)/2</f>
        <v>12274</v>
      </c>
      <c r="H30" s="21">
        <f>(H16+7383)/2</f>
        <v>6778</v>
      </c>
      <c r="I30" s="16">
        <f>(I16+7734)/2</f>
        <v>7152</v>
      </c>
      <c r="J30" s="17">
        <f>(J16+8449)/2</f>
        <v>7525</v>
      </c>
      <c r="K30" s="14">
        <f>(K16+L16)/2</f>
        <v>7759.5</v>
      </c>
      <c r="L30" s="14">
        <f>(L16+7815)/2</f>
        <v>8153</v>
      </c>
    </row>
    <row r="31" spans="1:12" ht="11.25">
      <c r="A31" s="2" t="s">
        <v>22</v>
      </c>
      <c r="B31" s="2"/>
      <c r="C31" s="18">
        <f>(C25+G25)/2</f>
        <v>113858</v>
      </c>
      <c r="D31" s="18">
        <f>(D25+H25)/2</f>
        <v>73369.5</v>
      </c>
      <c r="E31" s="18">
        <f>(E25+I25)/2</f>
        <v>72557</v>
      </c>
      <c r="F31" s="18">
        <f>(F25+J25)/2</f>
        <v>71524.5</v>
      </c>
      <c r="G31" s="19">
        <f>(G25+K25)/2</f>
        <v>61621</v>
      </c>
      <c r="H31" s="22">
        <f>(H25+21659)/2</f>
        <v>22509</v>
      </c>
      <c r="I31" s="18">
        <f>(I25+21451)/2</f>
        <v>21294.5</v>
      </c>
      <c r="J31" s="20">
        <f>(J25+20449)/2</f>
        <v>20693.5</v>
      </c>
      <c r="K31" s="18">
        <f>(K25+L25)/2</f>
        <v>21371.5</v>
      </c>
      <c r="L31" s="18">
        <f>(L25+23081)/2</f>
        <v>22387</v>
      </c>
    </row>
    <row r="32" spans="1:10" ht="11.25">
      <c r="A32" s="9" t="s">
        <v>25</v>
      </c>
      <c r="D32" s="14"/>
      <c r="F32" s="14"/>
      <c r="G32" s="23"/>
      <c r="H32" s="24"/>
      <c r="I32" s="24"/>
      <c r="J32" s="25"/>
    </row>
    <row r="33" spans="1:12" ht="11.25">
      <c r="A33" s="1" t="s">
        <v>26</v>
      </c>
      <c r="C33" s="26">
        <v>85873</v>
      </c>
      <c r="D33" s="14">
        <f>E33+21804</f>
        <v>66146</v>
      </c>
      <c r="E33" s="14">
        <f>F33+21537</f>
        <v>44342</v>
      </c>
      <c r="F33" s="14">
        <v>22805</v>
      </c>
      <c r="G33" s="15">
        <f>16776+H33</f>
        <v>76303</v>
      </c>
      <c r="H33" s="16">
        <f>17181+I33</f>
        <v>59527</v>
      </c>
      <c r="I33" s="16">
        <f>21379+J33</f>
        <v>42346</v>
      </c>
      <c r="J33" s="17">
        <v>20967</v>
      </c>
      <c r="K33" s="14">
        <v>78724</v>
      </c>
      <c r="L33" s="14">
        <v>70530</v>
      </c>
    </row>
    <row r="34" spans="1:12" ht="11.25">
      <c r="A34" s="1" t="s">
        <v>27</v>
      </c>
      <c r="C34" s="26">
        <v>46174</v>
      </c>
      <c r="D34" s="14">
        <f>E34+11960</f>
        <v>37086</v>
      </c>
      <c r="E34" s="14">
        <f>F34+11509</f>
        <v>25126</v>
      </c>
      <c r="F34" s="14">
        <v>13617</v>
      </c>
      <c r="G34" s="15">
        <f>10765+H34</f>
        <v>48147</v>
      </c>
      <c r="H34" s="16">
        <f>10786+I34</f>
        <v>37382</v>
      </c>
      <c r="I34" s="16">
        <f>14213+J34</f>
        <v>26596</v>
      </c>
      <c r="J34" s="17">
        <v>12383</v>
      </c>
      <c r="K34" s="14">
        <v>44137</v>
      </c>
      <c r="L34" s="14">
        <v>35615</v>
      </c>
    </row>
    <row r="35" spans="1:12" ht="11.25">
      <c r="A35" s="1" t="s">
        <v>28</v>
      </c>
      <c r="C35" s="14">
        <f aca="true" t="shared" si="5" ref="C35:L35">C33-C34</f>
        <v>39699</v>
      </c>
      <c r="D35" s="14">
        <f t="shared" si="5"/>
        <v>29060</v>
      </c>
      <c r="E35" s="14">
        <f t="shared" si="5"/>
        <v>19216</v>
      </c>
      <c r="F35" s="14">
        <f t="shared" si="5"/>
        <v>9188</v>
      </c>
      <c r="G35" s="15">
        <f t="shared" si="5"/>
        <v>28156</v>
      </c>
      <c r="H35" s="16">
        <f t="shared" si="5"/>
        <v>22145</v>
      </c>
      <c r="I35" s="16">
        <f t="shared" si="5"/>
        <v>15750</v>
      </c>
      <c r="J35" s="17">
        <f t="shared" si="5"/>
        <v>8584</v>
      </c>
      <c r="K35" s="14">
        <f t="shared" si="5"/>
        <v>34587</v>
      </c>
      <c r="L35" s="14">
        <f t="shared" si="5"/>
        <v>34915</v>
      </c>
    </row>
    <row r="36" spans="1:12" ht="11.25">
      <c r="A36" s="1" t="s">
        <v>29</v>
      </c>
      <c r="C36" s="26">
        <v>16549</v>
      </c>
      <c r="D36" s="14">
        <f>E36+3462</f>
        <v>11692</v>
      </c>
      <c r="E36" s="14">
        <f>F36+3799</f>
        <v>8230</v>
      </c>
      <c r="F36" s="14">
        <v>4431</v>
      </c>
      <c r="G36" s="15">
        <f>3507+H36</f>
        <v>17256</v>
      </c>
      <c r="H36" s="16">
        <f>7002+I36</f>
        <v>13749</v>
      </c>
      <c r="I36" s="16">
        <f>3798+J36</f>
        <v>6747</v>
      </c>
      <c r="J36" s="17">
        <v>2949</v>
      </c>
      <c r="K36" s="14">
        <v>14408</v>
      </c>
      <c r="L36" s="14">
        <v>10733</v>
      </c>
    </row>
    <row r="37" spans="1:12" ht="11.25">
      <c r="A37" s="1" t="s">
        <v>30</v>
      </c>
      <c r="C37" s="14">
        <f aca="true" t="shared" si="6" ref="C37:L37">C35+C36</f>
        <v>56248</v>
      </c>
      <c r="D37" s="14">
        <f t="shared" si="6"/>
        <v>40752</v>
      </c>
      <c r="E37" s="14">
        <f t="shared" si="6"/>
        <v>27446</v>
      </c>
      <c r="F37" s="14">
        <f t="shared" si="6"/>
        <v>13619</v>
      </c>
      <c r="G37" s="15">
        <f t="shared" si="6"/>
        <v>45412</v>
      </c>
      <c r="H37" s="16">
        <f t="shared" si="6"/>
        <v>35894</v>
      </c>
      <c r="I37" s="16">
        <f t="shared" si="6"/>
        <v>22497</v>
      </c>
      <c r="J37" s="17">
        <f t="shared" si="6"/>
        <v>11533</v>
      </c>
      <c r="K37" s="14">
        <f t="shared" si="6"/>
        <v>48995</v>
      </c>
      <c r="L37" s="14">
        <f t="shared" si="6"/>
        <v>45648</v>
      </c>
    </row>
    <row r="38" spans="1:12" ht="11.25">
      <c r="A38" s="1" t="s">
        <v>31</v>
      </c>
      <c r="C38" s="26">
        <v>40548</v>
      </c>
      <c r="D38" s="14">
        <f>E38+10620</f>
        <v>33858</v>
      </c>
      <c r="E38" s="14">
        <f>F38+12271</f>
        <v>23238</v>
      </c>
      <c r="F38" s="14">
        <v>10967</v>
      </c>
      <c r="G38" s="15">
        <f>8639+H38</f>
        <v>36739</v>
      </c>
      <c r="H38" s="16">
        <f>12360+I38</f>
        <v>28100</v>
      </c>
      <c r="I38" s="16">
        <f>7339+J38</f>
        <v>15740</v>
      </c>
      <c r="J38" s="17">
        <v>8401</v>
      </c>
      <c r="K38" s="14">
        <v>30479</v>
      </c>
      <c r="L38" s="14">
        <v>28999</v>
      </c>
    </row>
    <row r="39" spans="1:12" ht="11.25">
      <c r="A39" s="1" t="s">
        <v>32</v>
      </c>
      <c r="C39" s="14">
        <f aca="true" t="shared" si="7" ref="C39:L39">C37-C38</f>
        <v>15700</v>
      </c>
      <c r="D39" s="14">
        <f t="shared" si="7"/>
        <v>6894</v>
      </c>
      <c r="E39" s="14">
        <f t="shared" si="7"/>
        <v>4208</v>
      </c>
      <c r="F39" s="14">
        <f t="shared" si="7"/>
        <v>2652</v>
      </c>
      <c r="G39" s="15">
        <f t="shared" si="7"/>
        <v>8673</v>
      </c>
      <c r="H39" s="16">
        <f t="shared" si="7"/>
        <v>7794</v>
      </c>
      <c r="I39" s="16">
        <f t="shared" si="7"/>
        <v>6757</v>
      </c>
      <c r="J39" s="17">
        <f t="shared" si="7"/>
        <v>3132</v>
      </c>
      <c r="K39" s="14">
        <f t="shared" si="7"/>
        <v>18516</v>
      </c>
      <c r="L39" s="14">
        <f t="shared" si="7"/>
        <v>16649</v>
      </c>
    </row>
    <row r="40" spans="1:12" ht="11.25">
      <c r="A40" s="2" t="s">
        <v>33</v>
      </c>
      <c r="B40" s="2"/>
      <c r="C40" s="27">
        <v>6003</v>
      </c>
      <c r="D40" s="18">
        <f>E40-258</f>
        <v>3858</v>
      </c>
      <c r="E40" s="18">
        <f>F40+1526</f>
        <v>4116</v>
      </c>
      <c r="F40" s="18">
        <v>2590</v>
      </c>
      <c r="G40" s="49">
        <f>-3668+H40</f>
        <v>-1005</v>
      </c>
      <c r="H40" s="18">
        <f>-1105+I40</f>
        <v>2663</v>
      </c>
      <c r="I40" s="18">
        <f>1630+J40</f>
        <v>3768</v>
      </c>
      <c r="J40" s="20">
        <v>2138</v>
      </c>
      <c r="K40" s="18">
        <v>14889</v>
      </c>
      <c r="L40" s="18">
        <v>14924</v>
      </c>
    </row>
    <row r="41" spans="1:12" ht="11.25">
      <c r="A41" s="9" t="s">
        <v>34</v>
      </c>
      <c r="D41" s="14"/>
      <c r="E41" s="14"/>
      <c r="G41" s="15"/>
      <c r="H41" s="16"/>
      <c r="I41" s="16"/>
      <c r="J41" s="17"/>
      <c r="K41" s="14"/>
      <c r="L41" s="14"/>
    </row>
    <row r="42" spans="1:12" ht="11.25">
      <c r="A42" s="1" t="s">
        <v>35</v>
      </c>
      <c r="C42" s="14">
        <v>28978</v>
      </c>
      <c r="D42" s="14">
        <v>25852</v>
      </c>
      <c r="E42" s="14">
        <v>17312</v>
      </c>
      <c r="F42" s="14">
        <v>19528</v>
      </c>
      <c r="G42" s="15">
        <v>8969</v>
      </c>
      <c r="H42" s="16">
        <v>7868</v>
      </c>
      <c r="I42" s="16">
        <v>5078</v>
      </c>
      <c r="J42" s="17">
        <v>5103</v>
      </c>
      <c r="K42" s="14">
        <v>5824</v>
      </c>
      <c r="L42" s="14">
        <v>4620</v>
      </c>
    </row>
    <row r="43" spans="1:12" ht="11.25">
      <c r="A43" s="1" t="s">
        <v>36</v>
      </c>
      <c r="C43" s="14">
        <v>4874</v>
      </c>
      <c r="D43" s="14">
        <v>5563</v>
      </c>
      <c r="E43" s="14">
        <v>4950</v>
      </c>
      <c r="F43" s="14">
        <v>4212</v>
      </c>
      <c r="G43" s="15">
        <v>3856</v>
      </c>
      <c r="H43" s="16">
        <v>0</v>
      </c>
      <c r="I43" s="16">
        <v>0</v>
      </c>
      <c r="J43" s="17">
        <v>0</v>
      </c>
      <c r="K43" s="14">
        <v>0</v>
      </c>
      <c r="L43" s="14">
        <v>0</v>
      </c>
    </row>
    <row r="44" spans="1:12" ht="11.25">
      <c r="A44" s="1" t="s">
        <v>37</v>
      </c>
      <c r="C44" s="28">
        <f aca="true" t="shared" si="8" ref="C44:L44">C42/C13</f>
        <v>0.03449478554737766</v>
      </c>
      <c r="D44" s="28">
        <f t="shared" si="8"/>
        <v>0.02952567278491783</v>
      </c>
      <c r="E44" s="28">
        <f t="shared" si="8"/>
        <v>0.020043463008395053</v>
      </c>
      <c r="F44" s="28">
        <f t="shared" si="8"/>
        <v>0.022976577492413892</v>
      </c>
      <c r="G44" s="29">
        <f t="shared" si="8"/>
        <v>0.014772759091530493</v>
      </c>
      <c r="H44" s="30">
        <f t="shared" si="8"/>
        <v>0.013095828575803676</v>
      </c>
      <c r="I44" s="30">
        <f t="shared" si="8"/>
        <v>0.008146881307094749</v>
      </c>
      <c r="J44" s="31">
        <f t="shared" si="8"/>
        <v>0.008254156193286037</v>
      </c>
      <c r="K44" s="28">
        <f t="shared" si="8"/>
        <v>0.009716075066022265</v>
      </c>
      <c r="L44" s="28">
        <f t="shared" si="8"/>
        <v>0.00831039879121472</v>
      </c>
    </row>
    <row r="45" spans="1:12" ht="11.25">
      <c r="A45" s="1" t="s">
        <v>38</v>
      </c>
      <c r="C45" s="28">
        <f aca="true" t="shared" si="9" ref="C45:L45">C43/C42</f>
        <v>0.16819656290979362</v>
      </c>
      <c r="D45" s="28">
        <f t="shared" si="9"/>
        <v>0.215186445922946</v>
      </c>
      <c r="E45" s="28">
        <f t="shared" si="9"/>
        <v>0.28592883548983367</v>
      </c>
      <c r="F45" s="28">
        <f t="shared" si="9"/>
        <v>0.21569029086439984</v>
      </c>
      <c r="G45" s="29">
        <f t="shared" si="9"/>
        <v>0.42992529824952613</v>
      </c>
      <c r="H45" s="30">
        <f t="shared" si="9"/>
        <v>0</v>
      </c>
      <c r="I45" s="30">
        <f t="shared" si="9"/>
        <v>0</v>
      </c>
      <c r="J45" s="31">
        <f t="shared" si="9"/>
        <v>0</v>
      </c>
      <c r="K45" s="28">
        <f t="shared" si="9"/>
        <v>0</v>
      </c>
      <c r="L45" s="28">
        <f t="shared" si="9"/>
        <v>0</v>
      </c>
    </row>
    <row r="46" spans="1:12" ht="11.25">
      <c r="A46" s="2" t="s">
        <v>39</v>
      </c>
      <c r="B46" s="2"/>
      <c r="C46" s="32">
        <f aca="true" t="shared" si="10" ref="C46:L46">C43/C13</f>
        <v>0.005801904367379347</v>
      </c>
      <c r="D46" s="32">
        <f t="shared" si="10"/>
        <v>0.006353524590070319</v>
      </c>
      <c r="E46" s="32">
        <f t="shared" si="10"/>
        <v>0.005731004037173955</v>
      </c>
      <c r="F46" s="32">
        <f t="shared" si="10"/>
        <v>0.004955824682407175</v>
      </c>
      <c r="G46" s="33">
        <f t="shared" si="10"/>
        <v>0.0063511828583946465</v>
      </c>
      <c r="H46" s="32">
        <f t="shared" si="10"/>
        <v>0</v>
      </c>
      <c r="I46" s="32">
        <f t="shared" si="10"/>
        <v>0</v>
      </c>
      <c r="J46" s="34">
        <f t="shared" si="10"/>
        <v>0</v>
      </c>
      <c r="K46" s="32">
        <f t="shared" si="10"/>
        <v>0</v>
      </c>
      <c r="L46" s="32">
        <f t="shared" si="10"/>
        <v>0</v>
      </c>
    </row>
    <row r="47" spans="1:10" ht="11.25">
      <c r="A47" s="9" t="s">
        <v>40</v>
      </c>
      <c r="G47" s="23"/>
      <c r="H47" s="24"/>
      <c r="I47" s="24"/>
      <c r="J47" s="25"/>
    </row>
    <row r="48" spans="1:12" ht="11.25">
      <c r="A48" s="1" t="s">
        <v>41</v>
      </c>
      <c r="C48" s="28">
        <f aca="true" t="shared" si="11" ref="C48:L48">C25/(C13+C16)</f>
        <v>0.13907197454416934</v>
      </c>
      <c r="D48" s="28">
        <f t="shared" si="11"/>
        <v>0.13231638393843395</v>
      </c>
      <c r="E48" s="28">
        <f t="shared" si="11"/>
        <v>0.137057145099756</v>
      </c>
      <c r="F48" s="28">
        <f t="shared" si="11"/>
        <v>0.13576109977708722</v>
      </c>
      <c r="G48" s="29">
        <f t="shared" si="11"/>
        <v>0.16359855343223656</v>
      </c>
      <c r="H48" s="30">
        <f t="shared" si="11"/>
        <v>0.03848428683224186</v>
      </c>
      <c r="I48" s="30">
        <f t="shared" si="11"/>
        <v>0.03355898621315941</v>
      </c>
      <c r="J48" s="31">
        <f t="shared" si="11"/>
        <v>0.033509646546688324</v>
      </c>
      <c r="K48" s="28">
        <f t="shared" si="11"/>
        <v>0.034710370403349344</v>
      </c>
      <c r="L48" s="28">
        <f t="shared" si="11"/>
        <v>0.038434076690980666</v>
      </c>
    </row>
    <row r="49" spans="1:12" ht="11.25">
      <c r="A49" s="2" t="s">
        <v>42</v>
      </c>
      <c r="B49" s="2"/>
      <c r="C49" s="32">
        <f>C25/C13</f>
        <v>0.14942105946059192</v>
      </c>
      <c r="D49" s="32">
        <f aca="true" t="shared" si="12" ref="D49:L49">D25/D11</f>
        <v>0.10400290648420779</v>
      </c>
      <c r="E49" s="32">
        <f t="shared" si="12"/>
        <v>0.10209457929302287</v>
      </c>
      <c r="F49" s="32">
        <f t="shared" si="12"/>
        <v>0.10079572750460185</v>
      </c>
      <c r="G49" s="33">
        <f t="shared" si="12"/>
        <v>0.11414759031434374</v>
      </c>
      <c r="H49" s="32">
        <f t="shared" si="12"/>
        <v>0.026524816413386977</v>
      </c>
      <c r="I49" s="32">
        <f t="shared" si="12"/>
        <v>0.01928331178883779</v>
      </c>
      <c r="J49" s="34">
        <f t="shared" si="12"/>
        <v>0.019135651277476996</v>
      </c>
      <c r="K49" s="32">
        <f t="shared" si="12"/>
        <v>0.019057793551132376</v>
      </c>
      <c r="L49" s="32">
        <f t="shared" si="12"/>
        <v>0.02115723532974487</v>
      </c>
    </row>
    <row r="50" spans="1:12" ht="11.25">
      <c r="A50" s="9" t="s">
        <v>43</v>
      </c>
      <c r="F50" s="35"/>
      <c r="G50" s="36"/>
      <c r="H50" s="37"/>
      <c r="I50" s="37"/>
      <c r="J50" s="38"/>
      <c r="K50" s="35"/>
      <c r="L50" s="35"/>
    </row>
    <row r="51" spans="1:12" ht="11.25">
      <c r="A51" s="1" t="s">
        <v>44</v>
      </c>
      <c r="C51" s="35">
        <f aca="true" t="shared" si="13" ref="C51:L51">C12/C17</f>
        <v>0.23984519221123313</v>
      </c>
      <c r="D51" s="35">
        <f t="shared" si="13"/>
        <v>0.148666837873136</v>
      </c>
      <c r="E51" s="35">
        <f t="shared" si="13"/>
        <v>0.1917027456568203</v>
      </c>
      <c r="F51" s="35">
        <f t="shared" si="13"/>
        <v>0.20306322720600575</v>
      </c>
      <c r="G51" s="36">
        <f t="shared" si="13"/>
        <v>0.19568591639665928</v>
      </c>
      <c r="H51" s="37">
        <f t="shared" si="13"/>
        <v>0.18953374267191797</v>
      </c>
      <c r="I51" s="37">
        <f t="shared" si="13"/>
        <v>0.4111064162889251</v>
      </c>
      <c r="J51" s="38">
        <f t="shared" si="13"/>
        <v>0.4125943583631307</v>
      </c>
      <c r="K51" s="35">
        <f t="shared" si="13"/>
        <v>0.43083422960244233</v>
      </c>
      <c r="L51" s="35">
        <f t="shared" si="13"/>
        <v>0.4452687327911757</v>
      </c>
    </row>
    <row r="52" spans="1:12" ht="11.25">
      <c r="A52" s="1" t="s">
        <v>45</v>
      </c>
      <c r="C52" s="35">
        <f aca="true" t="shared" si="14" ref="C52:L52">C12/C11</f>
        <v>0.20286717545629293</v>
      </c>
      <c r="D52" s="35">
        <f t="shared" si="14"/>
        <v>0.1254112531852892</v>
      </c>
      <c r="E52" s="35">
        <f t="shared" si="14"/>
        <v>0.16419492310542894</v>
      </c>
      <c r="F52" s="35">
        <f t="shared" si="14"/>
        <v>0.17277027082800234</v>
      </c>
      <c r="G52" s="36">
        <f t="shared" si="14"/>
        <v>0.1641999772133744</v>
      </c>
      <c r="H52" s="37">
        <f t="shared" si="14"/>
        <v>0.17830867532620903</v>
      </c>
      <c r="I52" s="37">
        <f t="shared" si="14"/>
        <v>0.3914253211832717</v>
      </c>
      <c r="J52" s="38">
        <f t="shared" si="14"/>
        <v>0.38913331164297177</v>
      </c>
      <c r="K52" s="35">
        <f t="shared" si="14"/>
        <v>0.4043765023290344</v>
      </c>
      <c r="L52" s="35">
        <f t="shared" si="14"/>
        <v>0.41433382456065065</v>
      </c>
    </row>
    <row r="53" spans="1:12" ht="11.25">
      <c r="A53" s="2" t="s">
        <v>46</v>
      </c>
      <c r="B53" s="2"/>
      <c r="C53" s="39">
        <f aca="true" t="shared" si="15" ref="C53:L53">(C12+C16)/C17</f>
        <v>0.2984550160179934</v>
      </c>
      <c r="D53" s="39">
        <f t="shared" si="15"/>
        <v>0.2055097172994811</v>
      </c>
      <c r="E53" s="39">
        <f t="shared" si="15"/>
        <v>0.2309632249088771</v>
      </c>
      <c r="F53" s="39">
        <f t="shared" si="15"/>
        <v>0.25113146536042447</v>
      </c>
      <c r="G53" s="40">
        <f t="shared" si="15"/>
        <v>0.2190081654495257</v>
      </c>
      <c r="H53" s="39">
        <f t="shared" si="15"/>
        <v>0.19698463833644542</v>
      </c>
      <c r="I53" s="39">
        <f t="shared" si="15"/>
        <v>0.41740131052607876</v>
      </c>
      <c r="J53" s="41">
        <f t="shared" si="15"/>
        <v>0.4189908621374652</v>
      </c>
      <c r="K53" s="39">
        <f t="shared" si="15"/>
        <v>0.437613400147583</v>
      </c>
      <c r="L53" s="39">
        <f t="shared" si="15"/>
        <v>0.45416832182322614</v>
      </c>
    </row>
    <row r="54" spans="1:10" ht="11.25">
      <c r="A54" s="9" t="s">
        <v>47</v>
      </c>
      <c r="G54" s="23"/>
      <c r="H54" s="24"/>
      <c r="I54" s="24"/>
      <c r="J54" s="25"/>
    </row>
    <row r="55" spans="1:12" ht="11.25">
      <c r="A55" s="1" t="s">
        <v>48</v>
      </c>
      <c r="B55" s="24"/>
      <c r="C55" s="42">
        <f>C40/C28</f>
        <v>0.00786127076793733</v>
      </c>
      <c r="D55" s="42">
        <f>(D40/0.75)/D28</f>
        <v>0.006682962667520658</v>
      </c>
      <c r="E55" s="28">
        <f>(E40/0.5)/E28</f>
        <v>0.010729696246105239</v>
      </c>
      <c r="F55" s="28">
        <f>((F40)/0.25)/F28</f>
        <v>0.01359321388974539</v>
      </c>
      <c r="G55" s="43">
        <f>G40/G28</f>
        <v>-0.001632688867986139</v>
      </c>
      <c r="H55" s="42">
        <f>(H40/0.75)/H28</f>
        <v>0.005844247405010405</v>
      </c>
      <c r="I55" s="42">
        <f>(I40/0.5)/I28</f>
        <v>0.012275274996457176</v>
      </c>
      <c r="J55" s="31">
        <f>((J40)/0.25)/J28</f>
        <v>0.01428884110347547</v>
      </c>
      <c r="K55" s="28">
        <f>K40/K28</f>
        <v>0.02543241424310853</v>
      </c>
      <c r="L55" s="28">
        <f>L40/L28</f>
        <v>0.028583494774663654</v>
      </c>
    </row>
    <row r="56" spans="1:12" ht="11.25">
      <c r="A56" s="1" t="s">
        <v>49</v>
      </c>
      <c r="B56" s="24"/>
      <c r="C56" s="42">
        <f>C40/C27</f>
        <v>0.005567886382840188</v>
      </c>
      <c r="D56" s="42">
        <f>(D40/0.75)/D27</f>
        <v>0.004977358052405465</v>
      </c>
      <c r="E56" s="28">
        <f>(E40/0.5)/E27</f>
        <v>0.00712571185705642</v>
      </c>
      <c r="F56" s="28">
        <f>((F40)/0.25)/F27</f>
        <v>0.008986588644109403</v>
      </c>
      <c r="G56" s="43">
        <f>G40/G27</f>
        <v>-0.0010051020178548124</v>
      </c>
      <c r="H56" s="42">
        <f>(H40/0.75)/H27</f>
        <v>0.0036991910363725422</v>
      </c>
      <c r="I56" s="42">
        <f>(I40/0.5)/I27</f>
        <v>0.00702057075675157</v>
      </c>
      <c r="J56" s="31">
        <f>((J40)/0.25)/J27</f>
        <v>0.008018361973912196</v>
      </c>
      <c r="K56" s="28">
        <f>K40/K27</f>
        <v>0.013981213771058916</v>
      </c>
      <c r="L56" s="28">
        <f>L40/L27</f>
        <v>0.01597709849296693</v>
      </c>
    </row>
    <row r="57" spans="1:12" ht="11.25">
      <c r="A57" s="1" t="s">
        <v>50</v>
      </c>
      <c r="B57" s="24"/>
      <c r="C57" s="42">
        <f>+C40/C31</f>
        <v>0.05272356795306434</v>
      </c>
      <c r="D57" s="42">
        <f>(D40/0.75)/D31</f>
        <v>0.0701108771355945</v>
      </c>
      <c r="E57" s="28">
        <f>(E40/0.5)/E31</f>
        <v>0.11345562798902932</v>
      </c>
      <c r="F57" s="28">
        <f>((F40)/0.25)/F31</f>
        <v>0.14484547253039168</v>
      </c>
      <c r="G57" s="43">
        <f>+G40/G31</f>
        <v>-0.01630937505071323</v>
      </c>
      <c r="H57" s="42">
        <f>(H40/0.75)/H31</f>
        <v>0.15774430968353398</v>
      </c>
      <c r="I57" s="42">
        <f>(I40/0.5)/I31</f>
        <v>0.3538941980323558</v>
      </c>
      <c r="J57" s="31">
        <f>((J40)/0.25)/J31</f>
        <v>0.4132698673496509</v>
      </c>
      <c r="K57" s="28">
        <f>K40/K31</f>
        <v>0.6966754790258054</v>
      </c>
      <c r="L57" s="28">
        <f>L40/L31</f>
        <v>0.6666368874793407</v>
      </c>
    </row>
    <row r="58" spans="1:12" ht="11.25">
      <c r="A58" s="1" t="s">
        <v>51</v>
      </c>
      <c r="B58" s="24"/>
      <c r="C58" s="42">
        <f>C33/C28</f>
        <v>0.11245558964768988</v>
      </c>
      <c r="D58" s="42">
        <f>(D33/0.75)/D28</f>
        <v>0.11458041695329743</v>
      </c>
      <c r="E58" s="28">
        <f>(E33/0.5)/E28</f>
        <v>0.11559188312555843</v>
      </c>
      <c r="F58" s="28">
        <f>((F33)/0.25)/F28</f>
        <v>0.11968851071646472</v>
      </c>
      <c r="G58" s="43">
        <f>G33/G28</f>
        <v>0.1239592623820362</v>
      </c>
      <c r="H58" s="42">
        <f>(H33/0.75)/H28</f>
        <v>0.13063857126475945</v>
      </c>
      <c r="I58" s="42">
        <f>(I33/0.5)/I28</f>
        <v>0.137953501857743</v>
      </c>
      <c r="J58" s="31">
        <f>((J33)/0.25)/J28</f>
        <v>0.14012821862327884</v>
      </c>
      <c r="K58" s="28">
        <f>K33/K28</f>
        <v>0.13447117864695252</v>
      </c>
      <c r="L58" s="28">
        <f>L33/L27</f>
        <v>0.07550688533295079</v>
      </c>
    </row>
    <row r="59" spans="1:12" ht="11.25">
      <c r="A59" s="1" t="s">
        <v>52</v>
      </c>
      <c r="B59" s="24"/>
      <c r="C59" s="42">
        <f>C34/C28</f>
        <v>0.060467485663624566</v>
      </c>
      <c r="D59" s="42">
        <f>(D34/0.75)/D28</f>
        <v>0.06424166757067681</v>
      </c>
      <c r="E59" s="28">
        <f>(E34/0.5)/E28</f>
        <v>0.06549911270156468</v>
      </c>
      <c r="F59" s="28">
        <f>((F34)/0.25)/F28</f>
        <v>0.07146671565122123</v>
      </c>
      <c r="G59" s="43">
        <f>G34/G28</f>
        <v>0.07821798102181955</v>
      </c>
      <c r="H59" s="42">
        <f>(H34/0.75)/H28</f>
        <v>0.0820389247067589</v>
      </c>
      <c r="I59" s="42">
        <f>(I34/0.5)/I28</f>
        <v>0.08664363423720145</v>
      </c>
      <c r="J59" s="31">
        <f>((J34)/0.25)/J28</f>
        <v>0.08275898942204712</v>
      </c>
      <c r="K59" s="28">
        <f>K34/K28</f>
        <v>0.07539193145597967</v>
      </c>
      <c r="L59" s="28">
        <f>L34/L27</f>
        <v>0.03812814009829919</v>
      </c>
    </row>
    <row r="60" spans="1:12" ht="11.25">
      <c r="A60" s="1" t="s">
        <v>53</v>
      </c>
      <c r="B60" s="24"/>
      <c r="C60" s="42">
        <f>C35/C28</f>
        <v>0.05198810398406531</v>
      </c>
      <c r="D60" s="42">
        <f>(D35/0.75)/D28</f>
        <v>0.05033874938262061</v>
      </c>
      <c r="E60" s="28">
        <f>(E35/0.5)/E28</f>
        <v>0.05009277042399375</v>
      </c>
      <c r="F60" s="28">
        <f>((F35)/0.25)/F28</f>
        <v>0.04822179506524349</v>
      </c>
      <c r="G60" s="43">
        <f>G35/G28</f>
        <v>0.04574128136021665</v>
      </c>
      <c r="H60" s="42">
        <f>(H35/0.75)/H28</f>
        <v>0.04859964655800054</v>
      </c>
      <c r="I60" s="42">
        <f>(I35/0.5)/I28</f>
        <v>0.05130986762054154</v>
      </c>
      <c r="J60" s="31">
        <f>((J35)/0.25)/J28</f>
        <v>0.057369229201231726</v>
      </c>
      <c r="K60" s="28">
        <f>K35/K28</f>
        <v>0.05907924719097285</v>
      </c>
      <c r="L60" s="28">
        <f>L35/L27</f>
        <v>0.03737874523465159</v>
      </c>
    </row>
    <row r="61" spans="1:12" ht="11.25">
      <c r="A61" s="1" t="s">
        <v>54</v>
      </c>
      <c r="B61" s="24"/>
      <c r="C61" s="42">
        <f>C38/C37</f>
        <v>0.7208789645854075</v>
      </c>
      <c r="D61" s="42">
        <f>(D38/0.75)/(D37/0.75)</f>
        <v>0.8308303886925795</v>
      </c>
      <c r="E61" s="28">
        <f>(E38/0.5)/(E37/0.5)</f>
        <v>0.8466807549369672</v>
      </c>
      <c r="F61" s="28">
        <f>(F38/0.25)/(F37/0.25)</f>
        <v>0.8052720464057567</v>
      </c>
      <c r="G61" s="43">
        <f>G38/G37</f>
        <v>0.8090152382630141</v>
      </c>
      <c r="H61" s="42">
        <f>(H38/0.75)/(H37/0.75)</f>
        <v>0.7828606452331865</v>
      </c>
      <c r="I61" s="42">
        <f>(I38/0.5)/(I37/0.5)</f>
        <v>0.6996488420678313</v>
      </c>
      <c r="J61" s="31">
        <f>(J38/0.25)/(J37/0.25)</f>
        <v>0.7284314575565768</v>
      </c>
      <c r="K61" s="28">
        <f>K38/K37</f>
        <v>0.6220838861108277</v>
      </c>
      <c r="L61" s="28">
        <f>L38/L37</f>
        <v>0.6352742726954084</v>
      </c>
    </row>
    <row r="62" spans="1:12" ht="11.25">
      <c r="A62" s="2" t="s">
        <v>55</v>
      </c>
      <c r="B62" s="2"/>
      <c r="C62" s="44">
        <f>C36/C28</f>
        <v>0.021671859060235693</v>
      </c>
      <c r="D62" s="44">
        <f>(D36/0.75)/D28</f>
        <v>0.020253291733709575</v>
      </c>
      <c r="E62" s="32">
        <f>(E36/0.5)/E28</f>
        <v>0.021454178840001486</v>
      </c>
      <c r="F62" s="32">
        <f>(F36/0.25)/F28</f>
        <v>0.023255417276240087</v>
      </c>
      <c r="G62" s="45">
        <f>G36/G28</f>
        <v>0.02803351154822768</v>
      </c>
      <c r="H62" s="44">
        <f>(H36/0.75)/H28</f>
        <v>0.030173697923953458</v>
      </c>
      <c r="I62" s="44">
        <f>(I36/0.5)/I28</f>
        <v>0.021980169957828175</v>
      </c>
      <c r="J62" s="34">
        <f>(J36/0.25)/J28</f>
        <v>0.019708976807366305</v>
      </c>
      <c r="K62" s="32">
        <f>K36/K28</f>
        <v>0.02461080155918515</v>
      </c>
      <c r="L62" s="32">
        <f>L36/L27</f>
        <v>0.011490364387899629</v>
      </c>
    </row>
    <row r="63" spans="1:10" ht="11.25">
      <c r="A63" s="9" t="s">
        <v>56</v>
      </c>
      <c r="G63" s="23"/>
      <c r="H63" s="24"/>
      <c r="I63" s="24"/>
      <c r="J63" s="25"/>
    </row>
    <row r="64" spans="1:12" ht="11.25">
      <c r="A64" s="1" t="s">
        <v>57</v>
      </c>
      <c r="C64" s="14">
        <v>694</v>
      </c>
      <c r="D64" s="14">
        <v>715</v>
      </c>
      <c r="E64" s="14">
        <v>705</v>
      </c>
      <c r="F64" s="14">
        <v>690</v>
      </c>
      <c r="G64" s="15">
        <v>567</v>
      </c>
      <c r="H64" s="16">
        <v>567</v>
      </c>
      <c r="I64" s="16">
        <v>574</v>
      </c>
      <c r="J64" s="17">
        <v>559</v>
      </c>
      <c r="K64" s="14">
        <v>552</v>
      </c>
      <c r="L64" s="14">
        <v>542</v>
      </c>
    </row>
    <row r="65" spans="1:12" ht="11.25">
      <c r="A65" s="1" t="s">
        <v>58</v>
      </c>
      <c r="C65" s="14">
        <v>18</v>
      </c>
      <c r="D65" s="14">
        <v>17</v>
      </c>
      <c r="E65" s="14">
        <v>17</v>
      </c>
      <c r="F65" s="14">
        <v>17</v>
      </c>
      <c r="G65" s="15">
        <v>10</v>
      </c>
      <c r="H65" s="16">
        <v>10</v>
      </c>
      <c r="I65" s="16">
        <v>10</v>
      </c>
      <c r="J65" s="17">
        <v>10</v>
      </c>
      <c r="K65" s="14">
        <v>10</v>
      </c>
      <c r="L65" s="14">
        <v>10</v>
      </c>
    </row>
    <row r="66" spans="1:12" ht="11.25">
      <c r="A66" s="1" t="s">
        <v>59</v>
      </c>
      <c r="C66" s="14">
        <f aca="true" t="shared" si="16" ref="C66:L66">C13/C64</f>
        <v>1210.4740634005764</v>
      </c>
      <c r="D66" s="14">
        <f t="shared" si="16"/>
        <v>1224.5832167832168</v>
      </c>
      <c r="E66" s="14">
        <f t="shared" si="16"/>
        <v>1225.1390070921987</v>
      </c>
      <c r="F66" s="14">
        <f t="shared" si="16"/>
        <v>1231.7521739130434</v>
      </c>
      <c r="G66" s="15">
        <f t="shared" si="16"/>
        <v>1070.7777777777778</v>
      </c>
      <c r="H66" s="16">
        <f t="shared" si="16"/>
        <v>1059.615520282187</v>
      </c>
      <c r="I66" s="16">
        <f t="shared" si="16"/>
        <v>1085.8989547038327</v>
      </c>
      <c r="J66" s="17">
        <f t="shared" si="16"/>
        <v>1105.964221824687</v>
      </c>
      <c r="K66" s="14">
        <f t="shared" si="16"/>
        <v>1085.9039855072465</v>
      </c>
      <c r="L66" s="14">
        <f t="shared" si="16"/>
        <v>1025.70110701107</v>
      </c>
    </row>
    <row r="67" spans="1:12" ht="11.25">
      <c r="A67" s="1" t="s">
        <v>60</v>
      </c>
      <c r="C67" s="14">
        <f aca="true" t="shared" si="17" ref="C67:L67">C17/C64</f>
        <v>1536.906340057637</v>
      </c>
      <c r="D67" s="14">
        <f t="shared" si="17"/>
        <v>1399.6377622377622</v>
      </c>
      <c r="E67" s="14">
        <f t="shared" si="17"/>
        <v>1475.2893617021277</v>
      </c>
      <c r="F67" s="14">
        <f t="shared" si="17"/>
        <v>1493.8304347826088</v>
      </c>
      <c r="G67" s="15">
        <f t="shared" si="17"/>
        <v>1324.8924162257495</v>
      </c>
      <c r="H67" s="16">
        <f t="shared" si="17"/>
        <v>1461.1834215167548</v>
      </c>
      <c r="I67" s="16">
        <f t="shared" si="17"/>
        <v>1818.2979094076654</v>
      </c>
      <c r="J67" s="17">
        <f t="shared" si="17"/>
        <v>1846.1001788908766</v>
      </c>
      <c r="K67" s="14">
        <f t="shared" si="17"/>
        <v>1878.088768115942</v>
      </c>
      <c r="L67" s="14">
        <f t="shared" si="17"/>
        <v>1760.3118081180812</v>
      </c>
    </row>
    <row r="68" spans="1:12" ht="11.25">
      <c r="A68" s="2" t="s">
        <v>61</v>
      </c>
      <c r="B68" s="2"/>
      <c r="C68" s="18">
        <f aca="true" t="shared" si="18" ref="C68:L68">(C40/C64)</f>
        <v>8.64985590778098</v>
      </c>
      <c r="D68" s="18">
        <f t="shared" si="18"/>
        <v>5.395804195804196</v>
      </c>
      <c r="E68" s="18">
        <f t="shared" si="18"/>
        <v>5.8382978723404255</v>
      </c>
      <c r="F68" s="18">
        <f t="shared" si="18"/>
        <v>3.753623188405797</v>
      </c>
      <c r="G68" s="49">
        <f t="shared" si="18"/>
        <v>-1.7724867724867726</v>
      </c>
      <c r="H68" s="18">
        <f t="shared" si="18"/>
        <v>4.696649029982363</v>
      </c>
      <c r="I68" s="18">
        <f t="shared" si="18"/>
        <v>6.564459930313589</v>
      </c>
      <c r="J68" s="20">
        <f t="shared" si="18"/>
        <v>3.8246869409660107</v>
      </c>
      <c r="K68" s="18">
        <f t="shared" si="18"/>
        <v>26.972826086956523</v>
      </c>
      <c r="L68" s="18">
        <f t="shared" si="18"/>
        <v>27.535055350553506</v>
      </c>
    </row>
    <row r="69" spans="1:10" ht="11.25">
      <c r="A69" s="9" t="s">
        <v>62</v>
      </c>
      <c r="G69" s="23"/>
      <c r="H69" s="24"/>
      <c r="I69" s="24"/>
      <c r="J69" s="25"/>
    </row>
    <row r="70" spans="1:12" ht="11.25">
      <c r="A70" s="1" t="s">
        <v>63</v>
      </c>
      <c r="C70" s="28">
        <f>(C11/G11)-1</f>
        <v>0.4085619628667363</v>
      </c>
      <c r="D70" s="28">
        <f>(D11/H11)-1</f>
        <v>0.34709253537455975</v>
      </c>
      <c r="E70" s="28">
        <f>(E11/I11)-1</f>
        <v>0.1077778213634426</v>
      </c>
      <c r="F70" s="28">
        <f>(F11/J11)-1</f>
        <v>0.10718633360994634</v>
      </c>
      <c r="G70" s="29">
        <f>(G11/K11)-1</f>
        <v>-0.18946706079934095</v>
      </c>
      <c r="H70" s="30">
        <f>(H11/378421)-1</f>
        <v>1.3271620761004277</v>
      </c>
      <c r="I70" s="30">
        <f>(I11/1050653)-1</f>
        <v>0.04333305096925444</v>
      </c>
      <c r="J70" s="31">
        <f>(J11/1038916)-1</f>
        <v>0.05320160628963255</v>
      </c>
      <c r="K70" s="28">
        <f>(K11/L11)-1</f>
        <v>0.07725565504723875</v>
      </c>
      <c r="L70" s="28">
        <f>(L11/842852)-1</f>
        <v>0.21649233791934996</v>
      </c>
    </row>
    <row r="71" spans="1:12" ht="11.25">
      <c r="A71" s="1" t="s">
        <v>64</v>
      </c>
      <c r="C71" s="28">
        <f aca="true" t="shared" si="19" ref="C71:E72">(C13/G13)-1</f>
        <v>0.3836700810862894</v>
      </c>
      <c r="D71" s="28">
        <f t="shared" si="19"/>
        <v>0.45734701282618895</v>
      </c>
      <c r="E71" s="28">
        <f t="shared" si="19"/>
        <v>0.38571263552733326</v>
      </c>
      <c r="F71" s="28">
        <f>F13/J13-1</f>
        <v>0.3747367501625598</v>
      </c>
      <c r="G71" s="29">
        <f>(G13/K13)-1</f>
        <v>0.012865791708304153</v>
      </c>
      <c r="H71" s="30">
        <f>H13/600740-1</f>
        <v>0.00010320604587676918</v>
      </c>
      <c r="I71" s="30">
        <f>I13/590224-1</f>
        <v>0.05604990647618524</v>
      </c>
      <c r="J71" s="31">
        <f>J13/563734-1</f>
        <v>0.09667680147019686</v>
      </c>
      <c r="K71" s="28">
        <f>(K13/L13)-1</f>
        <v>0.07822747468206437</v>
      </c>
      <c r="L71" s="28">
        <f>L13/472003-1</f>
        <v>0.17781031052768737</v>
      </c>
    </row>
    <row r="72" spans="2:12" ht="11.25">
      <c r="B72" s="1" t="s">
        <v>15</v>
      </c>
      <c r="C72" s="28">
        <f t="shared" si="19"/>
        <v>0.38334230997923013</v>
      </c>
      <c r="D72" s="28">
        <f t="shared" si="19"/>
        <v>0.45723715966325007</v>
      </c>
      <c r="E72" s="28">
        <f t="shared" si="19"/>
        <v>0.3857046137852034</v>
      </c>
      <c r="F72" s="28">
        <f>(F14/J14)-1</f>
        <v>0.3747286626099502</v>
      </c>
      <c r="G72" s="29">
        <f>(G14/K14)-1</f>
        <v>0.012865791708304153</v>
      </c>
      <c r="H72" s="30">
        <f>(H14/600740)-1</f>
        <v>0.00010320604587676918</v>
      </c>
      <c r="I72" s="30">
        <f>(I14/590224)-1</f>
        <v>0.05604990647618524</v>
      </c>
      <c r="J72" s="31">
        <f>(J14/563734)-1</f>
        <v>0.09667680147019686</v>
      </c>
      <c r="K72" s="28">
        <f>(K14/L14)-1</f>
        <v>0.07823329322015304</v>
      </c>
      <c r="L72" s="28">
        <f>(L14/471999)-1</f>
        <v>0.17781393604647477</v>
      </c>
    </row>
    <row r="73" spans="2:12" ht="11.25">
      <c r="B73" s="1" t="s">
        <v>16</v>
      </c>
      <c r="C73" s="28">
        <v>0</v>
      </c>
      <c r="D73" s="28">
        <v>0</v>
      </c>
      <c r="E73" s="28">
        <v>0</v>
      </c>
      <c r="F73" s="28">
        <v>0</v>
      </c>
      <c r="G73" s="29">
        <v>0</v>
      </c>
      <c r="H73" s="30">
        <v>0</v>
      </c>
      <c r="I73" s="30">
        <v>0</v>
      </c>
      <c r="J73" s="31">
        <v>0</v>
      </c>
      <c r="K73" s="28">
        <f>(K15/L15)-1</f>
        <v>-1</v>
      </c>
      <c r="L73" s="28">
        <f>(L15/4)-1</f>
        <v>-0.25</v>
      </c>
    </row>
    <row r="74" spans="1:12" ht="11.25">
      <c r="A74" s="1" t="s">
        <v>65</v>
      </c>
      <c r="C74" s="28">
        <f aca="true" t="shared" si="20" ref="C74:G75">(C17/G17)-1</f>
        <v>0.41985239891695314</v>
      </c>
      <c r="D74" s="28">
        <f t="shared" si="20"/>
        <v>0.20790811245988183</v>
      </c>
      <c r="E74" s="28">
        <f t="shared" si="20"/>
        <v>-0.0034722521636902925</v>
      </c>
      <c r="F74" s="28">
        <f t="shared" si="20"/>
        <v>-0.0011889880519782015</v>
      </c>
      <c r="G74" s="29">
        <f t="shared" si="20"/>
        <v>-0.27538306461336637</v>
      </c>
      <c r="H74" s="46">
        <f>H17/976691-1</f>
        <v>-0.15173683386045334</v>
      </c>
      <c r="I74" s="30">
        <f>I17/989400-1</f>
        <v>0.05488477865372943</v>
      </c>
      <c r="J74" s="31">
        <f>J17/975006-1</f>
        <v>0.0584242558507333</v>
      </c>
      <c r="K74" s="28">
        <f>(K17/L17)-1</f>
        <v>0.08659150246989533</v>
      </c>
      <c r="L74" s="28">
        <f>L17/783569-1</f>
        <v>0.21761963528419326</v>
      </c>
    </row>
    <row r="75" spans="2:12" ht="11.25">
      <c r="B75" s="1" t="s">
        <v>15</v>
      </c>
      <c r="C75" s="28">
        <f t="shared" si="20"/>
        <v>0.1875494331663592</v>
      </c>
      <c r="D75" s="28">
        <f t="shared" si="20"/>
        <v>0.1500431255222232</v>
      </c>
      <c r="E75" s="28">
        <f t="shared" si="20"/>
        <v>0.21760798937310954</v>
      </c>
      <c r="F75" s="28">
        <f t="shared" si="20"/>
        <v>0.24790450832529842</v>
      </c>
      <c r="G75" s="29">
        <f t="shared" si="20"/>
        <v>-0.022417956272340223</v>
      </c>
      <c r="H75" s="30">
        <f>(H18/448599)-1</f>
        <v>0.3232664361712798</v>
      </c>
      <c r="I75" s="30">
        <f>(I18/570210)-1</f>
        <v>0.09578927061959619</v>
      </c>
      <c r="J75" s="31">
        <f>(J18/522399)-1</f>
        <v>0.16540613592292486</v>
      </c>
      <c r="K75" s="28">
        <f>(K18/L18)-1</f>
        <v>0.16199936733620457</v>
      </c>
      <c r="L75" s="28">
        <f>(L18/501215)-1</f>
        <v>0.06590784393922777</v>
      </c>
    </row>
    <row r="76" spans="2:12" ht="11.25">
      <c r="B76" s="1" t="s">
        <v>16</v>
      </c>
      <c r="C76" s="28">
        <f>(C22/G22)-1</f>
        <v>1.396614796236507</v>
      </c>
      <c r="D76" s="28">
        <f>(D22/H22)-1</f>
        <v>0.3541543374135179</v>
      </c>
      <c r="E76" s="28">
        <f>(E22/I22)-1</f>
        <v>-0.3332561420764767</v>
      </c>
      <c r="F76" s="28">
        <f>(F22/J22)-1</f>
        <v>-0.35956120927396773</v>
      </c>
      <c r="G76" s="29">
        <f>(G22/K22)-1</f>
        <v>-0.652966521442242</v>
      </c>
      <c r="H76" s="30">
        <f>(H22/520093)-1</f>
        <v>-0.5483980749596706</v>
      </c>
      <c r="I76" s="30">
        <f>(I22/413189)-1</f>
        <v>0.01375641655513582</v>
      </c>
      <c r="J76" s="31">
        <f>(J22/452607)-1</f>
        <v>-0.06505423027041124</v>
      </c>
      <c r="K76" s="28">
        <f>(K22/L22)-1</f>
        <v>-0.00936547256097564</v>
      </c>
      <c r="L76" s="28">
        <f>(L22/282354)-1</f>
        <v>0.4869277573542432</v>
      </c>
    </row>
    <row r="77" spans="1:12" ht="11.25">
      <c r="A77" s="1" t="s">
        <v>66</v>
      </c>
      <c r="C77" s="28">
        <f>(C25/G25)-1</f>
        <v>0.2283153280100203</v>
      </c>
      <c r="D77" s="28">
        <f>(D25/H25)-1</f>
        <v>4.281904191104071</v>
      </c>
      <c r="E77" s="28">
        <f>(E25/I25)-1</f>
        <v>4.865077112309585</v>
      </c>
      <c r="F77" s="28">
        <f>(F25/J25)-1</f>
        <v>4.832027891871239</v>
      </c>
      <c r="G77" s="29">
        <f>(G25/K25)-1</f>
        <v>3.8547268408551068</v>
      </c>
      <c r="H77" s="30">
        <f>(H25/21659)-1</f>
        <v>0.07848931160256711</v>
      </c>
      <c r="I77" s="30">
        <f>(I25/21451)-1</f>
        <v>-0.014591394340590202</v>
      </c>
      <c r="J77" s="31">
        <f>(J25/20449)-1</f>
        <v>0.023913149787275767</v>
      </c>
      <c r="K77" s="28">
        <f>(K25/L25)-1</f>
        <v>-0.029640897985525272</v>
      </c>
      <c r="L77" s="28">
        <f>(L25/23081)-1</f>
        <v>-0.0601360426324683</v>
      </c>
    </row>
    <row r="78" spans="1:12" ht="11.25">
      <c r="A78" s="2" t="s">
        <v>67</v>
      </c>
      <c r="B78" s="2"/>
      <c r="C78" s="32">
        <f>(C40/G40)-1</f>
        <v>-6.973134328358209</v>
      </c>
      <c r="D78" s="32">
        <f>(D40/H40)-1</f>
        <v>0.448742020277882</v>
      </c>
      <c r="E78" s="32">
        <f>(E40/I40)-1</f>
        <v>0.09235668789808926</v>
      </c>
      <c r="F78" s="32">
        <f>(F40/J40)-1</f>
        <v>0.21141253507951352</v>
      </c>
      <c r="G78" s="33">
        <f>(G40/K40)-1</f>
        <v>-1.0674994962724158</v>
      </c>
      <c r="H78" s="32">
        <f>(H40/11322)-1</f>
        <v>-0.7647942059706766</v>
      </c>
      <c r="I78" s="32">
        <f>(I40/7329)-1</f>
        <v>-0.48587801882930826</v>
      </c>
      <c r="J78" s="34">
        <f>(J40/3036)-1</f>
        <v>-0.29578392621870886</v>
      </c>
      <c r="K78" s="32">
        <f>(K40/L40)-1</f>
        <v>-0.002345215759849917</v>
      </c>
      <c r="L78" s="32">
        <f>(L40/10195)-1</f>
        <v>0.4638548307994115</v>
      </c>
    </row>
    <row r="80" ht="11.25">
      <c r="A80" s="1" t="s">
        <v>68</v>
      </c>
    </row>
    <row r="81" ht="11.25">
      <c r="A81" s="1" t="s">
        <v>69</v>
      </c>
    </row>
  </sheetData>
  <sheetProtection password="CD66" sheet="1" objects="1" scenarios="1"/>
  <mergeCells count="7">
    <mergeCell ref="C2:H2"/>
    <mergeCell ref="C5:H5"/>
    <mergeCell ref="G8:J8"/>
    <mergeCell ref="K8:L8"/>
    <mergeCell ref="C8:F8"/>
    <mergeCell ref="C4:H4"/>
    <mergeCell ref="C3:H3"/>
  </mergeCells>
  <printOptions horizontalCentered="1" verticalCentered="1"/>
  <pageMargins left="0.75" right="0.75" top="1" bottom="1" header="0" footer="0"/>
  <pageSetup horizontalDpi="300" verticalDpi="300" orientation="portrait" r:id="rId3"/>
  <legacyDrawing r:id="rId2"/>
  <oleObjects>
    <oleObject progId="MSPhotoEd.3" shapeId="4202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2002-03-19T20:15:38Z</dcterms:created>
  <dcterms:modified xsi:type="dcterms:W3CDTF">2002-07-12T13:59:18Z</dcterms:modified>
  <cp:category/>
  <cp:version/>
  <cp:contentType/>
  <cp:contentStatus/>
</cp:coreProperties>
</file>