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tlántico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<sst xmlns="http://schemas.openxmlformats.org/spreadsheetml/2006/main" count="84" uniqueCount="68">
  <si>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18-26</t>
  </si>
  <si>
    <t>BANCO ATLANTICO, S.A.</t>
  </si>
  <si>
    <t>ESTADISTICA FINANCIERA. AÑO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</si>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</sst>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9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_(* #,##0.0000_);_(* \(#,##0.0000\);_(* &quot;-&quot;??_);_(@_)"/>
    <numFmt numFmtId="191" formatCode="0.00000"/>
    <numFmt numFmtId="192" formatCode="0.0000"/>
    <numFmt numFmtId="193" formatCode="0.000"/>
    <numFmt numFmtId="194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7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187" fontId="2" fillId="0" borderId="6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7" xfId="15" applyNumberFormat="1" applyFont="1" applyBorder="1" applyAlignment="1">
      <alignment/>
    </xf>
    <xf numFmtId="187" fontId="2" fillId="0" borderId="1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6" xfId="19" applyNumberFormat="1" applyFont="1" applyBorder="1" applyAlignment="1">
      <alignment/>
    </xf>
    <xf numFmtId="189" fontId="2" fillId="0" borderId="0" xfId="19" applyNumberFormat="1" applyFont="1" applyBorder="1" applyAlignment="1">
      <alignment/>
    </xf>
    <xf numFmtId="189" fontId="2" fillId="0" borderId="7" xfId="19" applyNumberFormat="1" applyFont="1" applyBorder="1" applyAlignment="1">
      <alignment/>
    </xf>
    <xf numFmtId="189" fontId="2" fillId="0" borderId="1" xfId="19" applyNumberFormat="1" applyFont="1" applyBorder="1" applyAlignment="1">
      <alignment/>
    </xf>
    <xf numFmtId="189" fontId="2" fillId="0" borderId="4" xfId="19" applyNumberFormat="1" applyFont="1" applyBorder="1" applyAlignment="1">
      <alignment/>
    </xf>
    <xf numFmtId="189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1.421875" defaultRowHeight="12.75"/>
  <cols>
    <col min="1" max="1" width="3.28125" style="1" customWidth="1"/>
    <col min="2" max="2" width="39.7109375" style="1" customWidth="1"/>
    <col min="3" max="3" width="8.57421875" style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2:12" ht="11.25"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</row>
    <row r="4" spans="2:12" ht="11.25">
      <c r="B4" s="45"/>
      <c r="C4" s="45"/>
      <c r="D4" s="45"/>
      <c r="E4" s="45"/>
      <c r="F4" s="45"/>
      <c r="G4" s="45" t="s">
        <v>2</v>
      </c>
      <c r="H4" s="45"/>
      <c r="I4" s="45"/>
      <c r="J4" s="45"/>
      <c r="K4" s="45"/>
      <c r="L4" s="45"/>
    </row>
    <row r="5" spans="2:12" ht="11.25">
      <c r="B5" s="44"/>
      <c r="C5" s="44"/>
      <c r="D5" s="44"/>
      <c r="E5" s="44"/>
      <c r="F5" s="44"/>
      <c r="G5" s="44" t="s">
        <v>3</v>
      </c>
      <c r="H5" s="44"/>
      <c r="I5" s="44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.75" customHeight="1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366993</v>
      </c>
      <c r="D11" s="14">
        <v>409150</v>
      </c>
      <c r="E11" s="14">
        <v>370976</v>
      </c>
      <c r="F11" s="14">
        <v>423472</v>
      </c>
      <c r="G11" s="15">
        <v>369193</v>
      </c>
      <c r="H11" s="16">
        <v>382503</v>
      </c>
      <c r="I11" s="16">
        <v>379725</v>
      </c>
      <c r="J11" s="17">
        <v>382661</v>
      </c>
      <c r="K11" s="14">
        <v>316721</v>
      </c>
      <c r="L11" s="14">
        <v>321138</v>
      </c>
    </row>
    <row r="12" spans="1:12" ht="11.25">
      <c r="A12" s="1" t="s">
        <v>13</v>
      </c>
      <c r="C12" s="14">
        <v>60168</v>
      </c>
      <c r="D12" s="14">
        <v>82486</v>
      </c>
      <c r="E12" s="14">
        <v>55689</v>
      </c>
      <c r="F12" s="14">
        <v>128314</v>
      </c>
      <c r="G12" s="15">
        <v>83689</v>
      </c>
      <c r="H12" s="16">
        <v>94735</v>
      </c>
      <c r="I12" s="16">
        <v>112100</v>
      </c>
      <c r="J12" s="17">
        <v>120329</v>
      </c>
      <c r="K12" s="14">
        <v>62724</v>
      </c>
      <c r="L12" s="14">
        <v>50299</v>
      </c>
    </row>
    <row r="13" spans="1:12" ht="11.25">
      <c r="A13" s="1" t="s">
        <v>14</v>
      </c>
      <c r="C13" s="14">
        <f aca="true" t="shared" si="0" ref="C13:L13">C14+C15</f>
        <v>292226</v>
      </c>
      <c r="D13" s="14">
        <f t="shared" si="0"/>
        <v>310418</v>
      </c>
      <c r="E13" s="14">
        <f t="shared" si="0"/>
        <v>300050</v>
      </c>
      <c r="F13" s="14">
        <f t="shared" si="0"/>
        <v>280768</v>
      </c>
      <c r="G13" s="15">
        <f t="shared" si="0"/>
        <v>270243</v>
      </c>
      <c r="H13" s="16">
        <f t="shared" si="0"/>
        <v>269893</v>
      </c>
      <c r="I13" s="16">
        <f t="shared" si="0"/>
        <v>254030</v>
      </c>
      <c r="J13" s="17">
        <f t="shared" si="0"/>
        <v>247410</v>
      </c>
      <c r="K13" s="14">
        <f t="shared" si="0"/>
        <v>241158</v>
      </c>
      <c r="L13" s="14">
        <f t="shared" si="0"/>
        <v>256375</v>
      </c>
    </row>
    <row r="14" spans="2:12" ht="11.25">
      <c r="B14" s="1" t="s">
        <v>15</v>
      </c>
      <c r="C14" s="14">
        <v>282445</v>
      </c>
      <c r="D14" s="14">
        <v>295779</v>
      </c>
      <c r="E14" s="14">
        <v>282189</v>
      </c>
      <c r="F14" s="14">
        <v>264643</v>
      </c>
      <c r="G14" s="15">
        <v>256230</v>
      </c>
      <c r="H14" s="16">
        <v>256769</v>
      </c>
      <c r="I14" s="16">
        <v>241857</v>
      </c>
      <c r="J14" s="17">
        <v>234150</v>
      </c>
      <c r="K14" s="14">
        <v>223868</v>
      </c>
      <c r="L14" s="14">
        <v>200252</v>
      </c>
    </row>
    <row r="15" spans="2:12" ht="11.25">
      <c r="B15" s="1" t="s">
        <v>16</v>
      </c>
      <c r="C15" s="14">
        <v>9781</v>
      </c>
      <c r="D15" s="14">
        <v>14639</v>
      </c>
      <c r="E15" s="14">
        <v>17861</v>
      </c>
      <c r="F15" s="14">
        <v>16125</v>
      </c>
      <c r="G15" s="15">
        <v>14013</v>
      </c>
      <c r="H15" s="16">
        <v>13124</v>
      </c>
      <c r="I15" s="16">
        <v>12173</v>
      </c>
      <c r="J15" s="17">
        <v>13260</v>
      </c>
      <c r="K15" s="14">
        <v>17290</v>
      </c>
      <c r="L15" s="14">
        <v>56123</v>
      </c>
    </row>
    <row r="16" spans="1:12" ht="11.25">
      <c r="A16" s="1" t="s">
        <v>17</v>
      </c>
      <c r="C16" s="14">
        <v>5838</v>
      </c>
      <c r="D16" s="14">
        <v>5946</v>
      </c>
      <c r="E16" s="14">
        <v>6073</v>
      </c>
      <c r="F16" s="14">
        <v>5155</v>
      </c>
      <c r="G16" s="15">
        <v>5238</v>
      </c>
      <c r="H16" s="16">
        <v>5316</v>
      </c>
      <c r="I16" s="16">
        <v>4895</v>
      </c>
      <c r="J16" s="17">
        <v>5371</v>
      </c>
      <c r="K16" s="14">
        <v>4368</v>
      </c>
      <c r="L16" s="14">
        <v>7388</v>
      </c>
    </row>
    <row r="17" spans="1:12" ht="11.25">
      <c r="A17" s="1" t="s">
        <v>18</v>
      </c>
      <c r="C17" s="14">
        <f aca="true" t="shared" si="1" ref="C17:L17">C18+C22</f>
        <v>307663</v>
      </c>
      <c r="D17" s="14">
        <f t="shared" si="1"/>
        <v>345734</v>
      </c>
      <c r="E17" s="14">
        <f t="shared" si="1"/>
        <v>314526</v>
      </c>
      <c r="F17" s="14">
        <f t="shared" si="1"/>
        <v>367599</v>
      </c>
      <c r="G17" s="15">
        <f t="shared" si="1"/>
        <v>309926</v>
      </c>
      <c r="H17" s="16">
        <f t="shared" si="1"/>
        <v>321877</v>
      </c>
      <c r="I17" s="16">
        <f t="shared" si="1"/>
        <v>324868</v>
      </c>
      <c r="J17" s="17">
        <f t="shared" si="1"/>
        <v>326239</v>
      </c>
      <c r="K17" s="14">
        <f t="shared" si="1"/>
        <v>259410</v>
      </c>
      <c r="L17" s="14">
        <f t="shared" si="1"/>
        <v>266715</v>
      </c>
    </row>
    <row r="18" spans="2:12" ht="11.25">
      <c r="B18" s="1" t="s">
        <v>15</v>
      </c>
      <c r="C18" s="14">
        <f aca="true" t="shared" si="2" ref="C18:L18">SUM(C19:C21)</f>
        <v>155402</v>
      </c>
      <c r="D18" s="14">
        <f t="shared" si="2"/>
        <v>145122</v>
      </c>
      <c r="E18" s="14">
        <f t="shared" si="2"/>
        <v>142097</v>
      </c>
      <c r="F18" s="14">
        <f t="shared" si="2"/>
        <v>145477</v>
      </c>
      <c r="G18" s="15">
        <f t="shared" si="2"/>
        <v>140983</v>
      </c>
      <c r="H18" s="16">
        <f t="shared" si="2"/>
        <v>138449</v>
      </c>
      <c r="I18" s="16">
        <f t="shared" si="2"/>
        <v>138524</v>
      </c>
      <c r="J18" s="17">
        <f t="shared" si="2"/>
        <v>138091</v>
      </c>
      <c r="K18" s="14">
        <f t="shared" si="2"/>
        <v>135038</v>
      </c>
      <c r="L18" s="14">
        <f t="shared" si="2"/>
        <v>114670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36152+119250</f>
        <v>155402</v>
      </c>
      <c r="D20" s="14">
        <v>144626</v>
      </c>
      <c r="E20" s="14">
        <v>139908</v>
      </c>
      <c r="F20" s="14">
        <v>142785</v>
      </c>
      <c r="G20" s="15">
        <v>136233</v>
      </c>
      <c r="H20" s="16">
        <v>135750</v>
      </c>
      <c r="I20" s="16">
        <v>136763</v>
      </c>
      <c r="J20" s="17">
        <v>135870</v>
      </c>
      <c r="K20" s="14">
        <v>129072</v>
      </c>
      <c r="L20" s="14">
        <v>112880</v>
      </c>
    </row>
    <row r="21" spans="2:12" ht="11.25">
      <c r="B21" s="1" t="s">
        <v>21</v>
      </c>
      <c r="C21" s="14">
        <v>0</v>
      </c>
      <c r="D21" s="14">
        <v>496</v>
      </c>
      <c r="E21" s="14">
        <v>2189</v>
      </c>
      <c r="F21" s="14">
        <v>2692</v>
      </c>
      <c r="G21" s="15">
        <v>4750</v>
      </c>
      <c r="H21" s="16">
        <v>2699</v>
      </c>
      <c r="I21" s="16">
        <v>1761</v>
      </c>
      <c r="J21" s="17">
        <v>2221</v>
      </c>
      <c r="K21" s="14">
        <v>5966</v>
      </c>
      <c r="L21" s="14">
        <v>1790</v>
      </c>
    </row>
    <row r="22" spans="2:12" ht="11.25">
      <c r="B22" s="1" t="s">
        <v>16</v>
      </c>
      <c r="C22" s="14">
        <f aca="true" t="shared" si="3" ref="C22:L22">SUM(C23:C24)</f>
        <v>152261</v>
      </c>
      <c r="D22" s="14">
        <f t="shared" si="3"/>
        <v>200612</v>
      </c>
      <c r="E22" s="14">
        <f t="shared" si="3"/>
        <v>172429</v>
      </c>
      <c r="F22" s="14">
        <f t="shared" si="3"/>
        <v>222122</v>
      </c>
      <c r="G22" s="15">
        <f t="shared" si="3"/>
        <v>168943</v>
      </c>
      <c r="H22" s="16">
        <f t="shared" si="3"/>
        <v>183428</v>
      </c>
      <c r="I22" s="16">
        <f t="shared" si="3"/>
        <v>186344</v>
      </c>
      <c r="J22" s="17">
        <f t="shared" si="3"/>
        <v>188148</v>
      </c>
      <c r="K22" s="14">
        <f t="shared" si="3"/>
        <v>124372</v>
      </c>
      <c r="L22" s="14">
        <f t="shared" si="3"/>
        <v>152045</v>
      </c>
    </row>
    <row r="23" spans="2:12" ht="11.25">
      <c r="B23" s="1" t="s">
        <v>20</v>
      </c>
      <c r="C23" s="14">
        <f>7383+57073</f>
        <v>64456</v>
      </c>
      <c r="D23" s="14">
        <v>70338</v>
      </c>
      <c r="E23" s="14">
        <v>71086</v>
      </c>
      <c r="F23" s="14">
        <v>71633</v>
      </c>
      <c r="G23" s="15">
        <v>65555</v>
      </c>
      <c r="H23" s="16">
        <v>65107</v>
      </c>
      <c r="I23" s="16">
        <v>69959</v>
      </c>
      <c r="J23" s="17">
        <v>66690</v>
      </c>
      <c r="K23" s="14">
        <v>64223</v>
      </c>
      <c r="L23" s="14">
        <v>54218</v>
      </c>
    </row>
    <row r="24" spans="2:12" ht="11.25">
      <c r="B24" s="1" t="s">
        <v>21</v>
      </c>
      <c r="C24" s="14">
        <f>4619+2408+80778</f>
        <v>87805</v>
      </c>
      <c r="D24" s="14">
        <v>130274</v>
      </c>
      <c r="E24" s="14">
        <v>101343</v>
      </c>
      <c r="F24" s="14">
        <v>150489</v>
      </c>
      <c r="G24" s="15">
        <v>103388</v>
      </c>
      <c r="H24" s="16">
        <v>118321</v>
      </c>
      <c r="I24" s="16">
        <v>116385</v>
      </c>
      <c r="J24" s="17">
        <v>121458</v>
      </c>
      <c r="K24" s="14">
        <v>60149</v>
      </c>
      <c r="L24" s="14">
        <v>97827</v>
      </c>
    </row>
    <row r="25" spans="1:12" ht="11.25">
      <c r="A25" s="2" t="s">
        <v>22</v>
      </c>
      <c r="B25" s="2"/>
      <c r="C25" s="18">
        <v>38035</v>
      </c>
      <c r="D25" s="18">
        <v>37448</v>
      </c>
      <c r="E25" s="18">
        <v>36168</v>
      </c>
      <c r="F25" s="18">
        <v>34838</v>
      </c>
      <c r="G25" s="19">
        <v>36028</v>
      </c>
      <c r="H25" s="18">
        <v>35389</v>
      </c>
      <c r="I25" s="18">
        <v>34330</v>
      </c>
      <c r="J25" s="20">
        <v>33395</v>
      </c>
      <c r="K25" s="18">
        <v>34901</v>
      </c>
      <c r="L25" s="18">
        <v>32732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368093</v>
      </c>
      <c r="D27" s="14">
        <f>(D11+H11)/2</f>
        <v>395826.5</v>
      </c>
      <c r="E27" s="14">
        <f>(E11+I11)/2</f>
        <v>375350.5</v>
      </c>
      <c r="F27" s="14">
        <f>(F11+J11)/2</f>
        <v>403066.5</v>
      </c>
      <c r="G27" s="15">
        <f>(G11+316721)/2</f>
        <v>342957</v>
      </c>
      <c r="H27" s="16">
        <f>(H11+378421)/2</f>
        <v>380462</v>
      </c>
      <c r="I27" s="16">
        <f>(I11+398758)/2</f>
        <v>389241.5</v>
      </c>
      <c r="J27" s="17">
        <f>(J11+391577)/2</f>
        <v>387119</v>
      </c>
      <c r="K27" s="14">
        <f>(K11+L11)/2</f>
        <v>318929.5</v>
      </c>
      <c r="L27" s="14">
        <f>(L11+265218)/2</f>
        <v>293178</v>
      </c>
    </row>
    <row r="28" spans="1:12" ht="11.25">
      <c r="A28" s="1" t="s">
        <v>24</v>
      </c>
      <c r="C28" s="14">
        <f aca="true" t="shared" si="4" ref="C28:L28">C29+C30</f>
        <v>286772.5</v>
      </c>
      <c r="D28" s="14">
        <f t="shared" si="4"/>
        <v>295786.5</v>
      </c>
      <c r="E28" s="14">
        <f t="shared" si="4"/>
        <v>282524</v>
      </c>
      <c r="F28" s="14">
        <f t="shared" si="4"/>
        <v>269352</v>
      </c>
      <c r="G28" s="15">
        <f t="shared" si="4"/>
        <v>260503.5</v>
      </c>
      <c r="H28" s="16">
        <f t="shared" si="4"/>
        <v>277350</v>
      </c>
      <c r="I28" s="16">
        <f t="shared" si="4"/>
        <v>275298</v>
      </c>
      <c r="J28" s="17">
        <f t="shared" si="4"/>
        <v>267051.5</v>
      </c>
      <c r="K28" s="14">
        <f t="shared" si="4"/>
        <v>254644.5</v>
      </c>
      <c r="L28" s="14">
        <f t="shared" si="4"/>
        <v>250161</v>
      </c>
    </row>
    <row r="29" spans="2:12" ht="11.25">
      <c r="B29" s="1" t="s">
        <v>14</v>
      </c>
      <c r="C29" s="14">
        <f>(C13+G13)/2</f>
        <v>281234.5</v>
      </c>
      <c r="D29" s="14">
        <f>(D13+H13)/2</f>
        <v>290155.5</v>
      </c>
      <c r="E29" s="14">
        <f>(E13+I13)/2</f>
        <v>277040</v>
      </c>
      <c r="F29" s="14">
        <f>(F13+J13)/2</f>
        <v>264089</v>
      </c>
      <c r="G29" s="15">
        <f>(G13+K13)/2</f>
        <v>255700.5</v>
      </c>
      <c r="H29" s="16">
        <f>(H13+273625)/2</f>
        <v>271759</v>
      </c>
      <c r="I29" s="16">
        <f>(I13+284303)/2</f>
        <v>269166.5</v>
      </c>
      <c r="J29" s="17">
        <f>(J13+273947)/2</f>
        <v>260678.5</v>
      </c>
      <c r="K29" s="14">
        <f>(K13+L13)/2</f>
        <v>248766.5</v>
      </c>
      <c r="L29" s="14">
        <f>(L13+217699)/2</f>
        <v>237037</v>
      </c>
    </row>
    <row r="30" spans="2:12" ht="11.25">
      <c r="B30" s="1" t="s">
        <v>17</v>
      </c>
      <c r="C30" s="14">
        <f>(C16+G16)/2</f>
        <v>5538</v>
      </c>
      <c r="D30" s="14">
        <f>(D16+H16)/2</f>
        <v>5631</v>
      </c>
      <c r="E30" s="14">
        <f>(E16+I16)/2</f>
        <v>5484</v>
      </c>
      <c r="F30" s="14">
        <f>(F16+J16)/2</f>
        <v>5263</v>
      </c>
      <c r="G30" s="15">
        <f>(G16+K16)/2</f>
        <v>4803</v>
      </c>
      <c r="H30" s="16">
        <f>(H16+5866)/2</f>
        <v>5591</v>
      </c>
      <c r="I30" s="16">
        <f>(I16+7368)/2</f>
        <v>6131.5</v>
      </c>
      <c r="J30" s="17">
        <f>(J16+7375)/2</f>
        <v>6373</v>
      </c>
      <c r="K30" s="14">
        <f>(K16+L16)/2</f>
        <v>5878</v>
      </c>
      <c r="L30" s="14">
        <f>(L16+18860)/2</f>
        <v>13124</v>
      </c>
    </row>
    <row r="31" spans="1:12" ht="11.25">
      <c r="A31" s="2" t="s">
        <v>22</v>
      </c>
      <c r="B31" s="2"/>
      <c r="C31" s="18">
        <f>(C25+G25)/2</f>
        <v>37031.5</v>
      </c>
      <c r="D31" s="18">
        <f>(D25+H25)/2</f>
        <v>36418.5</v>
      </c>
      <c r="E31" s="18">
        <f>(E25+I25)/2</f>
        <v>35249</v>
      </c>
      <c r="F31" s="18">
        <f>(F25+J25)/2</f>
        <v>34116.5</v>
      </c>
      <c r="G31" s="19">
        <f>(G25+K25)/2</f>
        <v>35464.5</v>
      </c>
      <c r="H31" s="18">
        <f>(H25+33475)/2</f>
        <v>34432</v>
      </c>
      <c r="I31" s="18">
        <f>(I25+32136)/2</f>
        <v>33233</v>
      </c>
      <c r="J31" s="20">
        <f>(J25+30899)/2</f>
        <v>32147</v>
      </c>
      <c r="K31" s="18">
        <f>(K25+L25)/2</f>
        <v>33816.5</v>
      </c>
      <c r="L31" s="18">
        <f>(L25+31420)/2</f>
        <v>32076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30321</v>
      </c>
      <c r="D33" s="14">
        <f>E33+7351</f>
        <v>23299</v>
      </c>
      <c r="E33" s="14">
        <f>F33+7713</f>
        <v>15948</v>
      </c>
      <c r="F33" s="14">
        <v>8235</v>
      </c>
      <c r="G33" s="15">
        <f>8676+H33</f>
        <v>31314</v>
      </c>
      <c r="H33" s="16">
        <f>8019+I33</f>
        <v>22638</v>
      </c>
      <c r="I33" s="16">
        <f>7611+J33</f>
        <v>14619</v>
      </c>
      <c r="J33" s="17">
        <v>7008</v>
      </c>
      <c r="K33" s="14">
        <v>27483</v>
      </c>
      <c r="L33" s="14">
        <v>26765</v>
      </c>
    </row>
    <row r="34" spans="1:12" ht="11.25">
      <c r="A34" s="1" t="s">
        <v>27</v>
      </c>
      <c r="C34" s="24">
        <v>16745</v>
      </c>
      <c r="D34" s="14">
        <f>E34+3999</f>
        <v>13735</v>
      </c>
      <c r="E34" s="14">
        <f>F34+4470</f>
        <v>9736</v>
      </c>
      <c r="F34" s="14">
        <v>5266</v>
      </c>
      <c r="G34" s="15">
        <f>5627+H34</f>
        <v>20035</v>
      </c>
      <c r="H34" s="16">
        <f>5093+I34</f>
        <v>14408</v>
      </c>
      <c r="I34" s="16">
        <f>4861+J34</f>
        <v>9315</v>
      </c>
      <c r="J34" s="17">
        <v>4454</v>
      </c>
      <c r="K34" s="14">
        <v>17174</v>
      </c>
      <c r="L34" s="14">
        <v>16448</v>
      </c>
    </row>
    <row r="35" spans="1:12" ht="11.25">
      <c r="A35" s="1" t="s">
        <v>28</v>
      </c>
      <c r="C35" s="14">
        <f aca="true" t="shared" si="5" ref="C35:L35">C33-C34</f>
        <v>13576</v>
      </c>
      <c r="D35" s="14">
        <f t="shared" si="5"/>
        <v>9564</v>
      </c>
      <c r="E35" s="14">
        <f t="shared" si="5"/>
        <v>6212</v>
      </c>
      <c r="F35" s="14">
        <f t="shared" si="5"/>
        <v>2969</v>
      </c>
      <c r="G35" s="15">
        <f t="shared" si="5"/>
        <v>11279</v>
      </c>
      <c r="H35" s="16">
        <f t="shared" si="5"/>
        <v>8230</v>
      </c>
      <c r="I35" s="16">
        <f t="shared" si="5"/>
        <v>5304</v>
      </c>
      <c r="J35" s="17">
        <f t="shared" si="5"/>
        <v>2554</v>
      </c>
      <c r="K35" s="14">
        <f t="shared" si="5"/>
        <v>10309</v>
      </c>
      <c r="L35" s="14">
        <f t="shared" si="5"/>
        <v>10317</v>
      </c>
    </row>
    <row r="36" spans="1:12" ht="11.25">
      <c r="A36" s="1" t="s">
        <v>29</v>
      </c>
      <c r="C36" s="24">
        <v>5900</v>
      </c>
      <c r="D36" s="14">
        <f>E36+1530</f>
        <v>4170</v>
      </c>
      <c r="E36" s="14">
        <f>F36+1405</f>
        <v>2640</v>
      </c>
      <c r="F36" s="14">
        <v>1235</v>
      </c>
      <c r="G36" s="15">
        <f>1595+H36</f>
        <v>4746</v>
      </c>
      <c r="H36" s="16">
        <f>1090+I36</f>
        <v>3151</v>
      </c>
      <c r="I36" s="16">
        <f>949+J36</f>
        <v>2061</v>
      </c>
      <c r="J36" s="17">
        <v>1112</v>
      </c>
      <c r="K36" s="14">
        <v>3652</v>
      </c>
      <c r="L36" s="14">
        <v>3603</v>
      </c>
    </row>
    <row r="37" spans="1:12" ht="11.25">
      <c r="A37" s="1" t="s">
        <v>30</v>
      </c>
      <c r="C37" s="14">
        <f aca="true" t="shared" si="6" ref="C37:L37">C35+C36</f>
        <v>19476</v>
      </c>
      <c r="D37" s="14">
        <f t="shared" si="6"/>
        <v>13734</v>
      </c>
      <c r="E37" s="14">
        <f t="shared" si="6"/>
        <v>8852</v>
      </c>
      <c r="F37" s="14">
        <f t="shared" si="6"/>
        <v>4204</v>
      </c>
      <c r="G37" s="15">
        <f t="shared" si="6"/>
        <v>16025</v>
      </c>
      <c r="H37" s="16">
        <f t="shared" si="6"/>
        <v>11381</v>
      </c>
      <c r="I37" s="16">
        <f t="shared" si="6"/>
        <v>7365</v>
      </c>
      <c r="J37" s="17">
        <f t="shared" si="6"/>
        <v>3666</v>
      </c>
      <c r="K37" s="14">
        <f t="shared" si="6"/>
        <v>13961</v>
      </c>
      <c r="L37" s="14">
        <f t="shared" si="6"/>
        <v>13920</v>
      </c>
    </row>
    <row r="38" spans="1:12" ht="11.25">
      <c r="A38" s="1" t="s">
        <v>31</v>
      </c>
      <c r="C38" s="24">
        <v>9596</v>
      </c>
      <c r="D38" s="14">
        <f>E38+2230</f>
        <v>6639</v>
      </c>
      <c r="E38" s="14">
        <f>F38+2125</f>
        <v>4409</v>
      </c>
      <c r="F38" s="14">
        <v>2284</v>
      </c>
      <c r="G38" s="15">
        <f>2398+H38</f>
        <v>9033</v>
      </c>
      <c r="H38" s="16">
        <f>2247+I38</f>
        <v>6635</v>
      </c>
      <c r="I38" s="16">
        <f>2150+J38</f>
        <v>4388</v>
      </c>
      <c r="J38" s="17">
        <v>2238</v>
      </c>
      <c r="K38" s="14">
        <v>7013</v>
      </c>
      <c r="L38" s="14">
        <v>6796</v>
      </c>
    </row>
    <row r="39" spans="1:12" ht="11.25">
      <c r="A39" s="1" t="s">
        <v>32</v>
      </c>
      <c r="C39" s="14">
        <f aca="true" t="shared" si="7" ref="C39:L39">C37-C38</f>
        <v>9880</v>
      </c>
      <c r="D39" s="14">
        <f t="shared" si="7"/>
        <v>7095</v>
      </c>
      <c r="E39" s="14">
        <f t="shared" si="7"/>
        <v>4443</v>
      </c>
      <c r="F39" s="14">
        <f t="shared" si="7"/>
        <v>1920</v>
      </c>
      <c r="G39" s="15">
        <f t="shared" si="7"/>
        <v>6992</v>
      </c>
      <c r="H39" s="16">
        <f t="shared" si="7"/>
        <v>4746</v>
      </c>
      <c r="I39" s="16">
        <f t="shared" si="7"/>
        <v>2977</v>
      </c>
      <c r="J39" s="17">
        <f t="shared" si="7"/>
        <v>1428</v>
      </c>
      <c r="K39" s="14">
        <f t="shared" si="7"/>
        <v>6948</v>
      </c>
      <c r="L39" s="14">
        <f t="shared" si="7"/>
        <v>7124</v>
      </c>
    </row>
    <row r="40" spans="1:12" ht="11.25">
      <c r="A40" s="2" t="s">
        <v>33</v>
      </c>
      <c r="B40" s="2"/>
      <c r="C40" s="25">
        <v>4508</v>
      </c>
      <c r="D40" s="18">
        <f>E40+1280</f>
        <v>3920</v>
      </c>
      <c r="E40" s="18">
        <f>F40+1329</f>
        <v>2640</v>
      </c>
      <c r="F40" s="18">
        <v>1311</v>
      </c>
      <c r="G40" s="19">
        <f>641+H40</f>
        <v>3323</v>
      </c>
      <c r="H40" s="18">
        <f>1057+I40</f>
        <v>2682</v>
      </c>
      <c r="I40" s="18">
        <f>931+J40</f>
        <v>1625</v>
      </c>
      <c r="J40" s="20">
        <v>694</v>
      </c>
      <c r="K40" s="18">
        <v>4773</v>
      </c>
      <c r="L40" s="18">
        <v>4313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5530</v>
      </c>
      <c r="D42" s="14">
        <v>16694</v>
      </c>
      <c r="E42" s="14">
        <v>16062</v>
      </c>
      <c r="F42" s="14">
        <v>11879</v>
      </c>
      <c r="G42" s="15">
        <v>10351</v>
      </c>
      <c r="H42" s="16">
        <v>7955</v>
      </c>
      <c r="I42" s="16">
        <v>6106</v>
      </c>
      <c r="J42" s="17">
        <v>5574</v>
      </c>
      <c r="K42" s="14">
        <v>5812</v>
      </c>
      <c r="L42" s="14">
        <v>7610</v>
      </c>
    </row>
    <row r="43" spans="1:12" ht="11.25">
      <c r="A43" s="1" t="s">
        <v>36</v>
      </c>
      <c r="C43" s="14">
        <v>2402</v>
      </c>
      <c r="D43" s="14">
        <v>5476</v>
      </c>
      <c r="E43" s="14">
        <v>4789</v>
      </c>
      <c r="F43" s="14">
        <v>4367</v>
      </c>
      <c r="G43" s="15">
        <v>3924</v>
      </c>
      <c r="H43" s="16">
        <v>3725</v>
      </c>
      <c r="I43" s="16">
        <v>3015</v>
      </c>
      <c r="J43" s="17">
        <v>2956</v>
      </c>
      <c r="K43" s="14">
        <v>2377</v>
      </c>
      <c r="L43" s="14">
        <v>1252</v>
      </c>
    </row>
    <row r="44" spans="1:12" ht="11.25">
      <c r="A44" s="1" t="s">
        <v>37</v>
      </c>
      <c r="C44" s="26">
        <f aca="true" t="shared" si="8" ref="C44:L44">C42/C13</f>
        <v>0.018923709731509173</v>
      </c>
      <c r="D44" s="26">
        <f t="shared" si="8"/>
        <v>0.05377909786159308</v>
      </c>
      <c r="E44" s="26">
        <f t="shared" si="8"/>
        <v>0.05353107815364106</v>
      </c>
      <c r="F44" s="26">
        <f t="shared" si="8"/>
        <v>0.042308952587189426</v>
      </c>
      <c r="G44" s="27">
        <f t="shared" si="8"/>
        <v>0.03830256472878114</v>
      </c>
      <c r="H44" s="28">
        <f t="shared" si="8"/>
        <v>0.029474643655078122</v>
      </c>
      <c r="I44" s="28">
        <f t="shared" si="8"/>
        <v>0.024036531118371847</v>
      </c>
      <c r="J44" s="29">
        <f t="shared" si="8"/>
        <v>0.02252940463198739</v>
      </c>
      <c r="K44" s="26">
        <f t="shared" si="8"/>
        <v>0.024100382321963196</v>
      </c>
      <c r="L44" s="26">
        <f t="shared" si="8"/>
        <v>0.02968308142369576</v>
      </c>
    </row>
    <row r="45" spans="1:12" ht="11.25">
      <c r="A45" s="1" t="s">
        <v>38</v>
      </c>
      <c r="C45" s="26">
        <f aca="true" t="shared" si="9" ref="C45:L45">C43/C42</f>
        <v>0.43435804701627484</v>
      </c>
      <c r="D45" s="26">
        <f t="shared" si="9"/>
        <v>0.32802204384808914</v>
      </c>
      <c r="E45" s="26">
        <f t="shared" si="9"/>
        <v>0.29815714107832153</v>
      </c>
      <c r="F45" s="26">
        <f t="shared" si="9"/>
        <v>0.36762353733479247</v>
      </c>
      <c r="G45" s="27">
        <f t="shared" si="9"/>
        <v>0.3790938073616076</v>
      </c>
      <c r="H45" s="28">
        <f t="shared" si="9"/>
        <v>0.46825895663104966</v>
      </c>
      <c r="I45" s="28">
        <f t="shared" si="9"/>
        <v>0.49377661316737637</v>
      </c>
      <c r="J45" s="29">
        <f t="shared" si="9"/>
        <v>0.5303193397918909</v>
      </c>
      <c r="K45" s="26">
        <f t="shared" si="9"/>
        <v>0.40898141775636615</v>
      </c>
      <c r="L45" s="26">
        <f t="shared" si="9"/>
        <v>0.1645203679369251</v>
      </c>
    </row>
    <row r="46" spans="1:12" ht="11.25">
      <c r="A46" s="2" t="s">
        <v>39</v>
      </c>
      <c r="B46" s="2"/>
      <c r="C46" s="30">
        <f aca="true" t="shared" si="10" ref="C46:L46">C43/C13</f>
        <v>0.0082196656012812</v>
      </c>
      <c r="D46" s="30">
        <f t="shared" si="10"/>
        <v>0.01764072959686616</v>
      </c>
      <c r="E46" s="30">
        <f t="shared" si="10"/>
        <v>0.01596067322112981</v>
      </c>
      <c r="F46" s="30">
        <f t="shared" si="10"/>
        <v>0.015553766811032597</v>
      </c>
      <c r="G46" s="31">
        <f t="shared" si="10"/>
        <v>0.01452026509474806</v>
      </c>
      <c r="H46" s="30">
        <f t="shared" si="10"/>
        <v>0.01380176588499887</v>
      </c>
      <c r="I46" s="30">
        <f t="shared" si="10"/>
        <v>0.011868676927921899</v>
      </c>
      <c r="J46" s="32">
        <f t="shared" si="10"/>
        <v>0.011947778990339922</v>
      </c>
      <c r="K46" s="30">
        <f t="shared" si="10"/>
        <v>0.009856608530506971</v>
      </c>
      <c r="L46" s="30">
        <f t="shared" si="10"/>
        <v>0.004883471477328132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6">
        <f aca="true" t="shared" si="11" ref="C48:L48">C25/(C13+C16)</f>
        <v>0.12760682269579687</v>
      </c>
      <c r="D48" s="26">
        <f t="shared" si="11"/>
        <v>0.11836997888508174</v>
      </c>
      <c r="E48" s="26">
        <f t="shared" si="11"/>
        <v>0.1181485873325428</v>
      </c>
      <c r="F48" s="26">
        <f t="shared" si="11"/>
        <v>0.12184399296314043</v>
      </c>
      <c r="G48" s="27">
        <f t="shared" si="11"/>
        <v>0.13078215920517205</v>
      </c>
      <c r="H48" s="28">
        <f t="shared" si="11"/>
        <v>0.128589544673321</v>
      </c>
      <c r="I48" s="28">
        <f t="shared" si="11"/>
        <v>0.13258665636767403</v>
      </c>
      <c r="J48" s="29">
        <f t="shared" si="11"/>
        <v>0.13211040386737927</v>
      </c>
      <c r="K48" s="26">
        <f t="shared" si="11"/>
        <v>0.1421478784324267</v>
      </c>
      <c r="L48" s="26">
        <f t="shared" si="11"/>
        <v>0.12409625307567779</v>
      </c>
    </row>
    <row r="49" spans="1:12" ht="11.25">
      <c r="A49" s="2" t="s">
        <v>42</v>
      </c>
      <c r="B49" s="2"/>
      <c r="C49" s="30">
        <f>C25/C13</f>
        <v>0.13015611205026248</v>
      </c>
      <c r="D49" s="30">
        <f aca="true" t="shared" si="12" ref="D49:L49">D25/D11</f>
        <v>0.09152633508493217</v>
      </c>
      <c r="E49" s="30">
        <f t="shared" si="12"/>
        <v>0.0974941775209178</v>
      </c>
      <c r="F49" s="30">
        <f t="shared" si="12"/>
        <v>0.08226754071107417</v>
      </c>
      <c r="G49" s="31">
        <f t="shared" si="12"/>
        <v>0.09758581554904887</v>
      </c>
      <c r="H49" s="30">
        <f t="shared" si="12"/>
        <v>0.0925195357944905</v>
      </c>
      <c r="I49" s="30">
        <f t="shared" si="12"/>
        <v>0.09040753176640991</v>
      </c>
      <c r="J49" s="32">
        <f t="shared" si="12"/>
        <v>0.0872704560956042</v>
      </c>
      <c r="K49" s="30">
        <f t="shared" si="12"/>
        <v>0.11019477710666485</v>
      </c>
      <c r="L49" s="30">
        <f t="shared" si="12"/>
        <v>0.10192502911520904</v>
      </c>
    </row>
    <row r="50" spans="1:12" ht="11.25">
      <c r="A50" s="9" t="s">
        <v>43</v>
      </c>
      <c r="F50" s="33"/>
      <c r="G50" s="34"/>
      <c r="H50" s="35"/>
      <c r="I50" s="35"/>
      <c r="J50" s="36"/>
      <c r="K50" s="33"/>
      <c r="L50" s="33"/>
    </row>
    <row r="51" spans="1:12" ht="11.25">
      <c r="A51" s="1" t="s">
        <v>44</v>
      </c>
      <c r="C51" s="33">
        <f aca="true" t="shared" si="13" ref="C51:L51">C12/C17</f>
        <v>0.1955646275307723</v>
      </c>
      <c r="D51" s="33">
        <f t="shared" si="13"/>
        <v>0.23858226266436047</v>
      </c>
      <c r="E51" s="33">
        <f t="shared" si="13"/>
        <v>0.1770569046756071</v>
      </c>
      <c r="F51" s="33">
        <f t="shared" si="13"/>
        <v>0.3490597090851716</v>
      </c>
      <c r="G51" s="34">
        <f t="shared" si="13"/>
        <v>0.27002897465846687</v>
      </c>
      <c r="H51" s="35">
        <f t="shared" si="13"/>
        <v>0.29432050130950643</v>
      </c>
      <c r="I51" s="35">
        <f t="shared" si="13"/>
        <v>0.3450632256793528</v>
      </c>
      <c r="J51" s="36">
        <f t="shared" si="13"/>
        <v>0.3688369569548705</v>
      </c>
      <c r="K51" s="33">
        <f t="shared" si="13"/>
        <v>0.2417948421417833</v>
      </c>
      <c r="L51" s="33">
        <f t="shared" si="13"/>
        <v>0.18858706859381738</v>
      </c>
    </row>
    <row r="52" spans="1:12" ht="11.25">
      <c r="A52" s="1" t="s">
        <v>45</v>
      </c>
      <c r="C52" s="33">
        <f aca="true" t="shared" si="14" ref="C52:L52">C12/C11</f>
        <v>0.16394863117280167</v>
      </c>
      <c r="D52" s="33">
        <f t="shared" si="14"/>
        <v>0.20160332396431627</v>
      </c>
      <c r="E52" s="33">
        <f t="shared" si="14"/>
        <v>0.15011483222634348</v>
      </c>
      <c r="F52" s="33">
        <f t="shared" si="14"/>
        <v>0.303004685079533</v>
      </c>
      <c r="G52" s="34">
        <f t="shared" si="14"/>
        <v>0.22668089589997645</v>
      </c>
      <c r="H52" s="35">
        <f t="shared" si="14"/>
        <v>0.24767126009469206</v>
      </c>
      <c r="I52" s="35">
        <f t="shared" si="14"/>
        <v>0.2952136414510501</v>
      </c>
      <c r="J52" s="36">
        <f t="shared" si="14"/>
        <v>0.3144532628096409</v>
      </c>
      <c r="K52" s="33">
        <f t="shared" si="14"/>
        <v>0.19804180966844637</v>
      </c>
      <c r="L52" s="33">
        <f t="shared" si="14"/>
        <v>0.1566273689192808</v>
      </c>
    </row>
    <row r="53" spans="1:12" ht="11.25">
      <c r="A53" s="2" t="s">
        <v>46</v>
      </c>
      <c r="B53" s="2"/>
      <c r="C53" s="37">
        <f aca="true" t="shared" si="15" ref="C53:L53">(C12+C16)/C17</f>
        <v>0.21453993492880197</v>
      </c>
      <c r="D53" s="37">
        <f t="shared" si="15"/>
        <v>0.25578045549468664</v>
      </c>
      <c r="E53" s="37">
        <f t="shared" si="15"/>
        <v>0.19636532432930823</v>
      </c>
      <c r="F53" s="37">
        <f t="shared" si="15"/>
        <v>0.3630831422283521</v>
      </c>
      <c r="G53" s="38">
        <f t="shared" si="15"/>
        <v>0.28692978323857954</v>
      </c>
      <c r="H53" s="37">
        <f t="shared" si="15"/>
        <v>0.3108361268434837</v>
      </c>
      <c r="I53" s="37">
        <f t="shared" si="15"/>
        <v>0.3601308839282416</v>
      </c>
      <c r="J53" s="39">
        <f t="shared" si="15"/>
        <v>0.38530034729140294</v>
      </c>
      <c r="K53" s="37">
        <f t="shared" si="15"/>
        <v>0.2586330519255233</v>
      </c>
      <c r="L53" s="37">
        <f t="shared" si="15"/>
        <v>0.21628704797255496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0">
        <f>C40/C28</f>
        <v>0.015719777872703972</v>
      </c>
      <c r="D55" s="40">
        <f>(D40/0.75)/D28</f>
        <v>0.017670403032818156</v>
      </c>
      <c r="E55" s="26">
        <f>(E40/0.5)/E28</f>
        <v>0.018688677776047345</v>
      </c>
      <c r="F55" s="26">
        <f>((F40)/0.25)/F28</f>
        <v>0.01946894769669429</v>
      </c>
      <c r="G55" s="41">
        <f>G40/G28</f>
        <v>0.012756066617147179</v>
      </c>
      <c r="H55" s="40">
        <f>(H40/0.75)/H28</f>
        <v>0.012893455922120064</v>
      </c>
      <c r="I55" s="40">
        <f>(I40/0.5)/I28</f>
        <v>0.01180538906929945</v>
      </c>
      <c r="J55" s="29">
        <f>((J40)/0.25)/J28</f>
        <v>0.010394998717475843</v>
      </c>
      <c r="K55" s="26">
        <f>K40/K28</f>
        <v>0.018743778090632233</v>
      </c>
      <c r="L55" s="26">
        <f>L40/L28</f>
        <v>0.017240896862420602</v>
      </c>
    </row>
    <row r="56" spans="1:12" ht="11.25">
      <c r="A56" s="1" t="s">
        <v>49</v>
      </c>
      <c r="B56" s="22"/>
      <c r="C56" s="40">
        <f>C40/C27</f>
        <v>0.012246904994118334</v>
      </c>
      <c r="D56" s="40">
        <f>(D40/0.75)/D27</f>
        <v>0.013204438476622124</v>
      </c>
      <c r="E56" s="26">
        <f>(E40/0.5)/E27</f>
        <v>0.014066852182160408</v>
      </c>
      <c r="F56" s="26">
        <f>((F40)/0.25)/F27</f>
        <v>0.013010260093557763</v>
      </c>
      <c r="G56" s="41">
        <f>G40/G27</f>
        <v>0.009689261335969233</v>
      </c>
      <c r="H56" s="40">
        <f>(H40/0.75)/H27</f>
        <v>0.009399098990175103</v>
      </c>
      <c r="I56" s="40">
        <f>(I40/0.5)/I27</f>
        <v>0.008349572180766953</v>
      </c>
      <c r="J56" s="29">
        <f>((J40)/0.25)/J27</f>
        <v>0.007170921602917966</v>
      </c>
      <c r="K56" s="26">
        <f>K40/K27</f>
        <v>0.01496568990952546</v>
      </c>
      <c r="L56" s="26">
        <f>L40/L27</f>
        <v>0.014711199339650314</v>
      </c>
    </row>
    <row r="57" spans="1:12" ht="11.25">
      <c r="A57" s="1" t="s">
        <v>50</v>
      </c>
      <c r="B57" s="22"/>
      <c r="C57" s="40">
        <f>+C40/C31</f>
        <v>0.12173419926278979</v>
      </c>
      <c r="D57" s="40">
        <f>(D40/0.75)/D31</f>
        <v>0.14351680235777606</v>
      </c>
      <c r="E57" s="26">
        <f>(E40/0.5)/E31</f>
        <v>0.1497914834463389</v>
      </c>
      <c r="F57" s="26">
        <f>((F40)/0.25)/F31</f>
        <v>0.15370861606554012</v>
      </c>
      <c r="G57" s="41">
        <f>+G40/G31</f>
        <v>0.09369933313595286</v>
      </c>
      <c r="H57" s="40">
        <f>(H40/0.75)/H31</f>
        <v>0.10385687732342007</v>
      </c>
      <c r="I57" s="40">
        <f>(I40/0.5)/I31</f>
        <v>0.09779436102669034</v>
      </c>
      <c r="J57" s="29">
        <f>((J40)/0.25)/J31</f>
        <v>0.0863533144616916</v>
      </c>
      <c r="K57" s="26">
        <f>K40/K31</f>
        <v>0.14114411603802876</v>
      </c>
      <c r="L57" s="26">
        <f>L40/L31</f>
        <v>0.1344619029804215</v>
      </c>
    </row>
    <row r="58" spans="1:12" ht="11.25">
      <c r="A58" s="1" t="s">
        <v>51</v>
      </c>
      <c r="B58" s="22"/>
      <c r="C58" s="40">
        <f>C33/C28</f>
        <v>0.10573189549207124</v>
      </c>
      <c r="D58" s="40">
        <f>(D33/0.75)/D28</f>
        <v>0.10502620414837503</v>
      </c>
      <c r="E58" s="26">
        <f>(E33/0.5)/E28</f>
        <v>0.11289660347439509</v>
      </c>
      <c r="F58" s="26">
        <f>((F33)/0.25)/F28</f>
        <v>0.12229350441058541</v>
      </c>
      <c r="G58" s="41">
        <f>G33/G28</f>
        <v>0.12020567861852144</v>
      </c>
      <c r="H58" s="40">
        <f>(H33/0.75)/H28</f>
        <v>0.10882999819722372</v>
      </c>
      <c r="I58" s="40">
        <f>(I33/0.5)/I28</f>
        <v>0.10620491249482379</v>
      </c>
      <c r="J58" s="29">
        <f>((J33)/0.25)/J28</f>
        <v>0.10496851730845923</v>
      </c>
      <c r="K58" s="26">
        <f>K33/K28</f>
        <v>0.10792693343072401</v>
      </c>
      <c r="L58" s="26">
        <f>L33/L27</f>
        <v>0.09129266179590556</v>
      </c>
    </row>
    <row r="59" spans="1:12" ht="11.25">
      <c r="A59" s="1" t="s">
        <v>52</v>
      </c>
      <c r="B59" s="22"/>
      <c r="C59" s="40">
        <f>C34/C28</f>
        <v>0.058391233469039044</v>
      </c>
      <c r="D59" s="40">
        <f>(D34/0.75)/D28</f>
        <v>0.061914026952999315</v>
      </c>
      <c r="E59" s="26">
        <f>(E34/0.5)/E28</f>
        <v>0.06892157834378672</v>
      </c>
      <c r="F59" s="26">
        <f>((F34)/0.25)/F28</f>
        <v>0.07820250081677507</v>
      </c>
      <c r="G59" s="41">
        <f>G34/G28</f>
        <v>0.07690875554455122</v>
      </c>
      <c r="H59" s="40">
        <f>(H34/0.75)/H28</f>
        <v>0.06926506820503577</v>
      </c>
      <c r="I59" s="40">
        <f>(I34/0.5)/I28</f>
        <v>0.06767212257263039</v>
      </c>
      <c r="J59" s="29">
        <f>((J34)/0.25)/J28</f>
        <v>0.0667137237574026</v>
      </c>
      <c r="K59" s="26">
        <f>K34/K28</f>
        <v>0.06744304314446219</v>
      </c>
      <c r="L59" s="26">
        <f>L34/L27</f>
        <v>0.05610243606273322</v>
      </c>
    </row>
    <row r="60" spans="1:12" ht="11.25">
      <c r="A60" s="1" t="s">
        <v>53</v>
      </c>
      <c r="B60" s="22"/>
      <c r="C60" s="40">
        <f>C35/C28</f>
        <v>0.04734066202303219</v>
      </c>
      <c r="D60" s="40">
        <f>(D35/0.75)/D28</f>
        <v>0.04311217719537572</v>
      </c>
      <c r="E60" s="26">
        <f>(E35/0.5)/E28</f>
        <v>0.04397502513060837</v>
      </c>
      <c r="F60" s="26">
        <f>((F35)/0.25)/F28</f>
        <v>0.04409100359381033</v>
      </c>
      <c r="G60" s="41">
        <f>G35/G28</f>
        <v>0.04329692307397021</v>
      </c>
      <c r="H60" s="40">
        <f>(H35/0.75)/H28</f>
        <v>0.03956492999218797</v>
      </c>
      <c r="I60" s="40">
        <f>(I35/0.5)/I28</f>
        <v>0.0385327899221934</v>
      </c>
      <c r="J60" s="29">
        <f>((J35)/0.25)/J28</f>
        <v>0.03825479355105663</v>
      </c>
      <c r="K60" s="26">
        <f>K35/K28</f>
        <v>0.04048389028626183</v>
      </c>
      <c r="L60" s="26">
        <f>L35/L27</f>
        <v>0.03519022573317234</v>
      </c>
    </row>
    <row r="61" spans="1:12" ht="11.25">
      <c r="A61" s="1" t="s">
        <v>54</v>
      </c>
      <c r="B61" s="22"/>
      <c r="C61" s="40">
        <f>C38/C37</f>
        <v>0.4927089751489012</v>
      </c>
      <c r="D61" s="40">
        <f>(D38/0.75)/(D37/0.75)</f>
        <v>0.4833988641328091</v>
      </c>
      <c r="E61" s="26">
        <f>(E38/0.5)/(E37/0.5)</f>
        <v>0.4980795300497063</v>
      </c>
      <c r="F61" s="26">
        <f>(F38/0.25)/(F37/0.25)</f>
        <v>0.5432921027592769</v>
      </c>
      <c r="G61" s="41">
        <f>G38/G37</f>
        <v>0.5636817472698908</v>
      </c>
      <c r="H61" s="40">
        <f>(H38/0.75)/(H37/0.75)</f>
        <v>0.5829891925138388</v>
      </c>
      <c r="I61" s="40">
        <f>(I38/0.5)/(I37/0.5)</f>
        <v>0.5957909029192124</v>
      </c>
      <c r="J61" s="29">
        <f>(J38/0.25)/(J37/0.25)</f>
        <v>0.6104746317512275</v>
      </c>
      <c r="K61" s="26">
        <f>K38/K37</f>
        <v>0.5023279134732469</v>
      </c>
      <c r="L61" s="26">
        <f>L38/L37</f>
        <v>0.4882183908045977</v>
      </c>
    </row>
    <row r="62" spans="1:12" ht="11.25">
      <c r="A62" s="2" t="s">
        <v>55</v>
      </c>
      <c r="B62" s="2"/>
      <c r="C62" s="42">
        <f>C36/C28</f>
        <v>0.020573799789031375</v>
      </c>
      <c r="D62" s="42">
        <f>(D36/0.75)/D28</f>
        <v>0.01879734200174788</v>
      </c>
      <c r="E62" s="30">
        <f>(E36/0.5)/E28</f>
        <v>0.018688677776047345</v>
      </c>
      <c r="F62" s="30">
        <f>(F36/0.25)/F28</f>
        <v>0.018340313047610562</v>
      </c>
      <c r="G62" s="43">
        <f>G36/G28</f>
        <v>0.018218565201619172</v>
      </c>
      <c r="H62" s="42">
        <f>(H36/0.75)/H28</f>
        <v>0.015148128117300642</v>
      </c>
      <c r="I62" s="42">
        <f>(I36/0.5)/I28</f>
        <v>0.01497286576727764</v>
      </c>
      <c r="J62" s="32">
        <f>(J36/0.25)/J28</f>
        <v>0.016655963362871954</v>
      </c>
      <c r="K62" s="30">
        <f>K36/K28</f>
        <v>0.01434156245275276</v>
      </c>
      <c r="L62" s="30">
        <f>L36/L27</f>
        <v>0.012289462374393713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117</v>
      </c>
      <c r="D64" s="14">
        <v>120</v>
      </c>
      <c r="E64" s="14">
        <v>119</v>
      </c>
      <c r="F64" s="14">
        <v>112</v>
      </c>
      <c r="G64" s="15">
        <v>112</v>
      </c>
      <c r="H64" s="16">
        <v>110</v>
      </c>
      <c r="I64" s="16">
        <v>110</v>
      </c>
      <c r="J64" s="17">
        <v>114</v>
      </c>
      <c r="K64" s="14">
        <v>115</v>
      </c>
      <c r="L64" s="14">
        <v>108</v>
      </c>
    </row>
    <row r="65" spans="1:12" ht="11.25">
      <c r="A65" s="1" t="s">
        <v>58</v>
      </c>
      <c r="C65" s="1">
        <v>7</v>
      </c>
      <c r="D65" s="14">
        <v>7</v>
      </c>
      <c r="E65" s="14">
        <v>7</v>
      </c>
      <c r="F65" s="14">
        <v>7</v>
      </c>
      <c r="G65" s="15">
        <v>5</v>
      </c>
      <c r="H65" s="16">
        <v>5</v>
      </c>
      <c r="I65" s="16">
        <v>5</v>
      </c>
      <c r="J65" s="17">
        <v>5</v>
      </c>
      <c r="K65" s="14">
        <v>5</v>
      </c>
      <c r="L65" s="14">
        <v>5</v>
      </c>
    </row>
    <row r="66" spans="1:12" ht="11.25">
      <c r="A66" s="1" t="s">
        <v>59</v>
      </c>
      <c r="C66" s="14">
        <f aca="true" t="shared" si="16" ref="C66:L66">C13/C64</f>
        <v>2497.6581196581196</v>
      </c>
      <c r="D66" s="14">
        <f t="shared" si="16"/>
        <v>2586.8166666666666</v>
      </c>
      <c r="E66" s="14">
        <f t="shared" si="16"/>
        <v>2521.4285714285716</v>
      </c>
      <c r="F66" s="14">
        <f t="shared" si="16"/>
        <v>2506.8571428571427</v>
      </c>
      <c r="G66" s="15">
        <f t="shared" si="16"/>
        <v>2412.8839285714284</v>
      </c>
      <c r="H66" s="16">
        <f t="shared" si="16"/>
        <v>2453.572727272727</v>
      </c>
      <c r="I66" s="16">
        <f t="shared" si="16"/>
        <v>2309.3636363636365</v>
      </c>
      <c r="J66" s="17">
        <f t="shared" si="16"/>
        <v>2170.2631578947367</v>
      </c>
      <c r="K66" s="14">
        <f t="shared" si="16"/>
        <v>2097.026086956522</v>
      </c>
      <c r="L66" s="14">
        <f t="shared" si="16"/>
        <v>2373.8425925925926</v>
      </c>
    </row>
    <row r="67" spans="1:12" ht="11.25">
      <c r="A67" s="1" t="s">
        <v>60</v>
      </c>
      <c r="C67" s="14">
        <f aca="true" t="shared" si="17" ref="C67:L67">C17/C64</f>
        <v>2629.5982905982905</v>
      </c>
      <c r="D67" s="14">
        <f t="shared" si="17"/>
        <v>2881.116666666667</v>
      </c>
      <c r="E67" s="14">
        <f t="shared" si="17"/>
        <v>2643.075630252101</v>
      </c>
      <c r="F67" s="14">
        <f t="shared" si="17"/>
        <v>3282.1339285714284</v>
      </c>
      <c r="G67" s="15">
        <f t="shared" si="17"/>
        <v>2767.1964285714284</v>
      </c>
      <c r="H67" s="16">
        <f t="shared" si="17"/>
        <v>2926.1545454545453</v>
      </c>
      <c r="I67" s="16">
        <f t="shared" si="17"/>
        <v>2953.3454545454547</v>
      </c>
      <c r="J67" s="17">
        <f t="shared" si="17"/>
        <v>2861.745614035088</v>
      </c>
      <c r="K67" s="14">
        <f t="shared" si="17"/>
        <v>2255.7391304347825</v>
      </c>
      <c r="L67" s="14">
        <f t="shared" si="17"/>
        <v>2469.5833333333335</v>
      </c>
    </row>
    <row r="68" spans="1:12" ht="11.25">
      <c r="A68" s="2" t="s">
        <v>61</v>
      </c>
      <c r="B68" s="2"/>
      <c r="C68" s="18">
        <f aca="true" t="shared" si="18" ref="C68:L68">(C40/C64)</f>
        <v>38.52991452991453</v>
      </c>
      <c r="D68" s="18">
        <f t="shared" si="18"/>
        <v>32.666666666666664</v>
      </c>
      <c r="E68" s="18">
        <f t="shared" si="18"/>
        <v>22.18487394957983</v>
      </c>
      <c r="F68" s="18">
        <f t="shared" si="18"/>
        <v>11.705357142857142</v>
      </c>
      <c r="G68" s="19">
        <f t="shared" si="18"/>
        <v>29.669642857142858</v>
      </c>
      <c r="H68" s="18">
        <f t="shared" si="18"/>
        <v>24.381818181818183</v>
      </c>
      <c r="I68" s="18">
        <f t="shared" si="18"/>
        <v>14.772727272727273</v>
      </c>
      <c r="J68" s="20">
        <f t="shared" si="18"/>
        <v>6.087719298245614</v>
      </c>
      <c r="K68" s="18">
        <f t="shared" si="18"/>
        <v>41.504347826086956</v>
      </c>
      <c r="L68" s="18">
        <f t="shared" si="18"/>
        <v>39.93518518518518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6">
        <f>(C11/G11)-1</f>
        <v>-0.005958942883532492</v>
      </c>
      <c r="D70" s="26">
        <f>(D11/H11)-1</f>
        <v>0.06966481308643324</v>
      </c>
      <c r="E70" s="26">
        <f>(E11/I11)-1</f>
        <v>-0.023040358153927132</v>
      </c>
      <c r="F70" s="26">
        <f>(F11/J11)-1</f>
        <v>0.10665053402358748</v>
      </c>
      <c r="G70" s="27">
        <f>(G11/K11)-1</f>
        <v>0.1656726266966826</v>
      </c>
      <c r="H70" s="28">
        <f>(H11/378421)-1</f>
        <v>0.010786927786777145</v>
      </c>
      <c r="I70" s="28">
        <f>(I11/398757)-1</f>
        <v>-0.04772831574116565</v>
      </c>
      <c r="J70" s="29">
        <f>(J11/391576)-1</f>
        <v>-0.022766972439577482</v>
      </c>
      <c r="K70" s="26">
        <f>(K11/L11)-1</f>
        <v>-0.013754211585050635</v>
      </c>
      <c r="L70" s="26">
        <f>(L11/265218)-1</f>
        <v>0.2108454177318282</v>
      </c>
    </row>
    <row r="71" spans="1:12" ht="11.25">
      <c r="A71" s="1" t="s">
        <v>64</v>
      </c>
      <c r="C71" s="26">
        <f aca="true" t="shared" si="19" ref="C71:E73">(C13/G13)-1</f>
        <v>0.08134530774155113</v>
      </c>
      <c r="D71" s="26">
        <f t="shared" si="19"/>
        <v>0.15015209731263868</v>
      </c>
      <c r="E71" s="26">
        <f t="shared" si="19"/>
        <v>0.181159705546589</v>
      </c>
      <c r="F71" s="26">
        <f>F13/J13-1</f>
        <v>0.13482882664403206</v>
      </c>
      <c r="G71" s="27">
        <f>(G13/K13)-1</f>
        <v>0.12060557808573624</v>
      </c>
      <c r="H71" s="28">
        <f>(H13/273625)-1</f>
        <v>-0.013639104613978992</v>
      </c>
      <c r="I71" s="28">
        <f>SUM(I72:I73)</f>
        <v>-0.7247725423180897</v>
      </c>
      <c r="J71" s="29">
        <f>J13/273947-1</f>
        <v>-0.09686910241762092</v>
      </c>
      <c r="K71" s="26">
        <f>(K13/L13)-1</f>
        <v>-0.05935446123842025</v>
      </c>
      <c r="L71" s="26">
        <f>L13/217699-1</f>
        <v>0.17765814266487223</v>
      </c>
    </row>
    <row r="72" spans="2:12" ht="11.25">
      <c r="B72" s="1" t="s">
        <v>15</v>
      </c>
      <c r="C72" s="26">
        <f t="shared" si="19"/>
        <v>0.10231042422823244</v>
      </c>
      <c r="D72" s="26">
        <f t="shared" si="19"/>
        <v>0.1519264397181903</v>
      </c>
      <c r="E72" s="26">
        <f t="shared" si="19"/>
        <v>0.16675969684565684</v>
      </c>
      <c r="F72" s="26">
        <f>(F14/J14)-1</f>
        <v>0.13022848601323944</v>
      </c>
      <c r="G72" s="27">
        <f>(G14/K14)-1</f>
        <v>0.14455840048600077</v>
      </c>
      <c r="H72" s="28">
        <f>(H14/226062)-1</f>
        <v>0.13583441710681132</v>
      </c>
      <c r="I72" s="28">
        <f>(I14/232424)-1</f>
        <v>0.04058530960658113</v>
      </c>
      <c r="J72" s="29">
        <f>(J14/218922)-1</f>
        <v>0.06955902102118561</v>
      </c>
      <c r="K72" s="26">
        <f>(K14/L14)-1</f>
        <v>0.1179314064279009</v>
      </c>
      <c r="L72" s="26">
        <f>(L14/177897)-1</f>
        <v>0.12566260251718697</v>
      </c>
    </row>
    <row r="73" spans="2:12" ht="11.25">
      <c r="B73" s="1" t="s">
        <v>16</v>
      </c>
      <c r="C73" s="26">
        <f t="shared" si="19"/>
        <v>-0.3020052808106758</v>
      </c>
      <c r="D73" s="26">
        <f t="shared" si="19"/>
        <v>0.11543736665650717</v>
      </c>
      <c r="E73" s="26">
        <f t="shared" si="19"/>
        <v>0.4672636161997865</v>
      </c>
      <c r="F73" s="26">
        <f>(F15/J15)-1</f>
        <v>0.2160633484162895</v>
      </c>
      <c r="G73" s="27">
        <f>(G15/K15)-1</f>
        <v>-0.18953152111046845</v>
      </c>
      <c r="H73" s="28">
        <f>(H15/47562)-1</f>
        <v>-0.724065430385602</v>
      </c>
      <c r="I73" s="28">
        <f>(I15/51879)-1</f>
        <v>-0.7653578519246709</v>
      </c>
      <c r="J73" s="29">
        <f>(J15/55025)-1</f>
        <v>-0.7590186278964107</v>
      </c>
      <c r="K73" s="26">
        <f>(K15/L15)-1</f>
        <v>-0.6919266610836912</v>
      </c>
      <c r="L73" s="26">
        <f>(L15/39802)-1</f>
        <v>0.41005477111702926</v>
      </c>
    </row>
    <row r="74" spans="1:12" ht="11.25">
      <c r="A74" s="1" t="s">
        <v>65</v>
      </c>
      <c r="C74" s="26">
        <f aca="true" t="shared" si="20" ref="C74:G75">(C17/G17)-1</f>
        <v>-0.007301742996715377</v>
      </c>
      <c r="D74" s="26">
        <f t="shared" si="20"/>
        <v>0.07411837441010083</v>
      </c>
      <c r="E74" s="26">
        <f t="shared" si="20"/>
        <v>-0.03183446815321911</v>
      </c>
      <c r="F74" s="26">
        <f t="shared" si="20"/>
        <v>0.12677822087488</v>
      </c>
      <c r="G74" s="27">
        <f t="shared" si="20"/>
        <v>0.19473420454107404</v>
      </c>
      <c r="H74" s="28">
        <f>H17/325377-1</f>
        <v>-0.010756752935825231</v>
      </c>
      <c r="I74" s="28">
        <f>I17/347555-1</f>
        <v>-0.06527599948209639</v>
      </c>
      <c r="J74" s="29">
        <f>J17/341620-1</f>
        <v>-0.04502371055558807</v>
      </c>
      <c r="K74" s="26">
        <f>(K17/L17)-1</f>
        <v>-0.027388785782576863</v>
      </c>
      <c r="L74" s="26">
        <f>L17/221030-1</f>
        <v>0.2066913993575532</v>
      </c>
    </row>
    <row r="75" spans="2:12" ht="11.25">
      <c r="B75" s="1" t="s">
        <v>15</v>
      </c>
      <c r="C75" s="26">
        <f t="shared" si="20"/>
        <v>0.10227474234482181</v>
      </c>
      <c r="D75" s="26">
        <f t="shared" si="20"/>
        <v>0.048198253508512146</v>
      </c>
      <c r="E75" s="26">
        <f t="shared" si="20"/>
        <v>0.02579336432675916</v>
      </c>
      <c r="F75" s="26">
        <f t="shared" si="20"/>
        <v>0.05348646906749899</v>
      </c>
      <c r="G75" s="27">
        <f t="shared" si="20"/>
        <v>0.044024644914764766</v>
      </c>
      <c r="H75" s="28">
        <f>(H18/122472)-1</f>
        <v>0.1304543079234437</v>
      </c>
      <c r="I75" s="28">
        <f>(I18/126078)-1</f>
        <v>0.09871666745982655</v>
      </c>
      <c r="J75" s="29">
        <f>(J18/117072)-1</f>
        <v>0.1795390870575373</v>
      </c>
      <c r="K75" s="26">
        <f>(K18/L18)-1</f>
        <v>0.1776227435248976</v>
      </c>
      <c r="L75" s="26">
        <f>(L18/102882)-1</f>
        <v>0.1145778659046286</v>
      </c>
    </row>
    <row r="76" spans="2:12" ht="11.25">
      <c r="B76" s="1" t="s">
        <v>16</v>
      </c>
      <c r="C76" s="26">
        <f>(C22/G22)-1</f>
        <v>-0.09874336314614984</v>
      </c>
      <c r="D76" s="26">
        <f>(D22/H22)-1</f>
        <v>0.09368253483655709</v>
      </c>
      <c r="E76" s="26">
        <f>(E22/I22)-1</f>
        <v>-0.07467372171897135</v>
      </c>
      <c r="F76" s="26">
        <f>(F22/J22)-1</f>
        <v>0.1805706146225312</v>
      </c>
      <c r="G76" s="27">
        <f>(G22/K22)-1</f>
        <v>0.35836844305792304</v>
      </c>
      <c r="H76" s="28">
        <f>(H22/202905)-1</f>
        <v>-0.09599073458022223</v>
      </c>
      <c r="I76" s="28">
        <f>(I22/221477)-1</f>
        <v>-0.1586304672719966</v>
      </c>
      <c r="J76" s="29">
        <f>(J22/224548)-1</f>
        <v>-0.16210342554821244</v>
      </c>
      <c r="K76" s="26">
        <f>(K22/L22)-1</f>
        <v>-0.1820053273701865</v>
      </c>
      <c r="L76" s="26">
        <f>(L22/113148)-1</f>
        <v>0.3437709902075159</v>
      </c>
    </row>
    <row r="77" spans="1:12" ht="11.25">
      <c r="A77" s="1" t="s">
        <v>66</v>
      </c>
      <c r="C77" s="26">
        <f>(C25/G25)-1</f>
        <v>0.055706672587987116</v>
      </c>
      <c r="D77" s="26">
        <f>(D25/H25)-1</f>
        <v>0.058181920935884035</v>
      </c>
      <c r="E77" s="26">
        <f>(E25/I25)-1</f>
        <v>0.0535391785610253</v>
      </c>
      <c r="F77" s="26">
        <f>(F25/J25)-1</f>
        <v>0.04321006138643502</v>
      </c>
      <c r="G77" s="27">
        <f>(G25/K25)-1</f>
        <v>0.0322913383570671</v>
      </c>
      <c r="H77" s="28">
        <f>(H25/33475)-1</f>
        <v>0.05717699775952201</v>
      </c>
      <c r="I77" s="28">
        <f>(I25/32136)-1</f>
        <v>0.06827234254418713</v>
      </c>
      <c r="J77" s="29">
        <f>(J25/30899)-1</f>
        <v>0.08077931324638343</v>
      </c>
      <c r="K77" s="26">
        <f>(K25/L25)-1</f>
        <v>0.06626542832701943</v>
      </c>
      <c r="L77" s="26">
        <f>(L25/31419)-1</f>
        <v>0.04178999968172126</v>
      </c>
    </row>
    <row r="78" spans="1:12" ht="11.25">
      <c r="A78" s="2" t="s">
        <v>67</v>
      </c>
      <c r="B78" s="2"/>
      <c r="C78" s="30">
        <f>(C40/G40)-1</f>
        <v>0.35660547697863376</v>
      </c>
      <c r="D78" s="30">
        <f>(D40/H40)-1</f>
        <v>0.46159582401193133</v>
      </c>
      <c r="E78" s="30">
        <f>(E40/I40)-1</f>
        <v>0.6246153846153846</v>
      </c>
      <c r="F78" s="30">
        <f>(F40/J40)-1</f>
        <v>0.8890489913544668</v>
      </c>
      <c r="G78" s="31">
        <f>(G40/K40)-1</f>
        <v>-0.3037921642572805</v>
      </c>
      <c r="H78" s="30">
        <f>(H40/3608)-1</f>
        <v>-0.25665188470066513</v>
      </c>
      <c r="I78" s="30">
        <f>(I40/2282)-1</f>
        <v>-0.2879053461875548</v>
      </c>
      <c r="J78" s="32">
        <f>(J40/1045)-1</f>
        <v>-0.3358851674641148</v>
      </c>
      <c r="K78" s="30">
        <f>(K40/L40)-1</f>
        <v>0.10665430095061446</v>
      </c>
      <c r="L78" s="30">
        <f>(L40/3121)-1</f>
        <v>0.38192886895225886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4152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2002-07-11T19:25:01Z</cp:lastPrinted>
  <dcterms:created xsi:type="dcterms:W3CDTF">2002-03-19T20:14:08Z</dcterms:created>
  <dcterms:modified xsi:type="dcterms:W3CDTF">2002-04-01T21:10:33Z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