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Bogotá" sheetId="1" r:id="rId1"/>
  </sheets>
  <definedNames/>
  <calcPr fullCalcOnLoad="1"/>
</workbook>
</file>

<file path=xl/sharedStrings.xml><?xml version="1.0" encoding="utf-8"?>
<sst xmlns="http://schemas.openxmlformats.org/spreadsheetml/2006/main" count="84" uniqueCount="68">
  <si>
    <t>CUADRO No. 18-25</t>
  </si>
  <si>
    <t>BANCO DE BOGOTA, S.A.</t>
  </si>
  <si>
    <t>ESTADISTICA FINANCIERA. AÑO 1999, TRIMESTRES DE 2000 Y 2001</t>
  </si>
  <si>
    <t>(En miles de balboas)</t>
  </si>
  <si>
    <t xml:space="preserve">Año </t>
  </si>
  <si>
    <t>Diciembre</t>
  </si>
  <si>
    <t>Septiembre</t>
  </si>
  <si>
    <t>Junio</t>
  </si>
  <si>
    <t>Marzo</t>
  </si>
  <si>
    <t>1999</t>
  </si>
  <si>
    <t>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</si>
  <si>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</si>
  <si>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</si>
  <si>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</si>
  <si>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</si>
  <si>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</si>
  <si>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</si>
  <si>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</si>
  <si>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</si>
  <si>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</si>
  <si>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</si>
  <si>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</si>
  <si>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</si>
  <si>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</si>
  <si>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</si>
  <si>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</si>
  <si>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</si>
  <si>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</si>
  <si>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</si>
  <si>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</si>
  <si>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</si>
  <si>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</si>
  <si>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</si>
  <si>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</si>
  <si>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</si>
  <si>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</si>
  <si>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Provisiones para Préstamos</t>
  </si>
  <si>
    <t>Préstamos Vencidos / Préstamos Totales</t>
  </si>
  <si>
    <t>Total de Provisiones / Préstamos Vencidos</t>
  </si>
  <si>
    <t>Provisiones Cuentas Malas / Préstamos Totales</t>
  </si>
  <si>
    <t>Razones de Capital</t>
  </si>
  <si>
    <t>Patrimonio / Activos Generadores de Ingreso</t>
  </si>
  <si>
    <t>Patrimonio /Préstamos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</si>
  <si>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</si>
  <si>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</si>
  <si>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</si>
  <si>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</si>
  <si>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</si>
  <si>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Gen. de Ingresos (Promedio)</t>
  </si>
  <si>
    <t>Utilidad Neta / Total de Activos (Promedio)</t>
  </si>
  <si>
    <t>Utilidad Neta / Patrimonio Total (Promedio)</t>
  </si>
  <si>
    <t>Ingresos por Intereses / Activos Gen. De Ingreso (Promedio)</t>
  </si>
  <si>
    <t>Egresos Operaciones / Activos Gen. De Ingreso (Promedio)</t>
  </si>
  <si>
    <t>Ingresos Netos por Intereses / Activos Gen. De Ingreso (Promedio)</t>
  </si>
  <si>
    <t>Egresos Generales / Ingresos de Operaciones</t>
  </si>
  <si>
    <t>Otros Ingresos / Activos Gen. De Ingreso (Promedio)</t>
  </si>
  <si>
    <t>Productividad</t>
  </si>
  <si>
    <t>Número de Empleados</t>
  </si>
  <si>
    <t>Sucursales</t>
  </si>
  <si>
    <t>Préstamos / Empleados  (En miles de balboas)</t>
  </si>
  <si>
    <t>Depósitos Totales / Empleados  (En miles de balboas)</t>
  </si>
  <si>
    <t>Utilidad Neta / Empleados  (En miles de balboas)</t>
  </si>
  <si>
    <t>Tasas de Crecimiento (12 meses)</t>
  </si>
  <si>
    <t>Activos</t>
  </si>
  <si>
    <t>Préstamos</t>
  </si>
  <si>
    <t>Depósitos</t>
  </si>
  <si>
    <t>Patrimonio</t>
  </si>
  <si>
    <t>Utilidad Neta</t>
  </si>
</sst>
</file>

<file path=xl/styles.xml><?xml version="1.0" encoding="utf-8"?>
<styleSheet xmlns="http://schemas.openxmlformats.org/spreadsheetml/2006/main">
  <numFmts count="39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_(* #,##0.0_);_(* \(#,##0.0\);_(* &quot;-&quot;??_);_(@_)"/>
    <numFmt numFmtId="187" formatCode="_(* #,##0_);_(* \(#,##0\);_(* &quot;-&quot;??_);_(@_)"/>
    <numFmt numFmtId="188" formatCode="_(* #,##0.000_);_(* \(#,##0.000\);_(* &quot;-&quot;??_);_(@_)"/>
    <numFmt numFmtId="189" formatCode="0.0%"/>
    <numFmt numFmtId="190" formatCode="_(* #,##0.0000_);_(* \(#,##0.0000\);_(* &quot;-&quot;??_);_(@_)"/>
    <numFmt numFmtId="191" formatCode="0.00000"/>
    <numFmt numFmtId="192" formatCode="0.0000"/>
    <numFmt numFmtId="193" formatCode="0.000"/>
    <numFmt numFmtId="194" formatCode="0.0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49" fontId="2" fillId="0" borderId="1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right"/>
    </xf>
    <xf numFmtId="0" fontId="1" fillId="0" borderId="0" xfId="0" applyFont="1" applyAlignment="1">
      <alignment/>
    </xf>
    <xf numFmtId="187" fontId="1" fillId="0" borderId="0" xfId="15" applyNumberFormat="1" applyFont="1" applyAlignment="1">
      <alignment/>
    </xf>
    <xf numFmtId="187" fontId="1" fillId="0" borderId="6" xfId="15" applyNumberFormat="1" applyFont="1" applyBorder="1" applyAlignment="1">
      <alignment/>
    </xf>
    <xf numFmtId="187" fontId="1" fillId="0" borderId="0" xfId="15" applyNumberFormat="1" applyFont="1" applyBorder="1" applyAlignment="1">
      <alignment/>
    </xf>
    <xf numFmtId="187" fontId="1" fillId="0" borderId="7" xfId="15" applyNumberFormat="1" applyFont="1" applyBorder="1" applyAlignment="1">
      <alignment/>
    </xf>
    <xf numFmtId="187" fontId="2" fillId="0" borderId="0" xfId="15" applyNumberFormat="1" applyFont="1" applyAlignment="1">
      <alignment/>
    </xf>
    <xf numFmtId="187" fontId="2" fillId="0" borderId="6" xfId="15" applyNumberFormat="1" applyFont="1" applyBorder="1" applyAlignment="1">
      <alignment/>
    </xf>
    <xf numFmtId="187" fontId="2" fillId="0" borderId="0" xfId="15" applyNumberFormat="1" applyFont="1" applyBorder="1" applyAlignment="1">
      <alignment/>
    </xf>
    <xf numFmtId="187" fontId="2" fillId="0" borderId="7" xfId="15" applyNumberFormat="1" applyFont="1" applyBorder="1" applyAlignment="1">
      <alignment/>
    </xf>
    <xf numFmtId="187" fontId="2" fillId="0" borderId="1" xfId="15" applyNumberFormat="1" applyFont="1" applyBorder="1" applyAlignment="1">
      <alignment/>
    </xf>
    <xf numFmtId="187" fontId="2" fillId="0" borderId="4" xfId="15" applyNumberFormat="1" applyFont="1" applyBorder="1" applyAlignment="1">
      <alignment/>
    </xf>
    <xf numFmtId="187" fontId="2" fillId="0" borderId="5" xfId="15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187" fontId="2" fillId="0" borderId="0" xfId="0" applyNumberFormat="1" applyFont="1" applyAlignment="1">
      <alignment/>
    </xf>
    <xf numFmtId="187" fontId="2" fillId="0" borderId="1" xfId="0" applyNumberFormat="1" applyFont="1" applyBorder="1" applyAlignment="1">
      <alignment/>
    </xf>
    <xf numFmtId="10" fontId="2" fillId="0" borderId="0" xfId="19" applyNumberFormat="1" applyFont="1" applyAlignment="1">
      <alignment/>
    </xf>
    <xf numFmtId="10" fontId="2" fillId="0" borderId="6" xfId="19" applyNumberFormat="1" applyFont="1" applyBorder="1" applyAlignment="1">
      <alignment/>
    </xf>
    <xf numFmtId="10" fontId="2" fillId="0" borderId="0" xfId="19" applyNumberFormat="1" applyFont="1" applyBorder="1" applyAlignment="1">
      <alignment/>
    </xf>
    <xf numFmtId="10" fontId="2" fillId="0" borderId="7" xfId="19" applyNumberFormat="1" applyFont="1" applyBorder="1" applyAlignment="1">
      <alignment/>
    </xf>
    <xf numFmtId="10" fontId="2" fillId="0" borderId="1" xfId="19" applyNumberFormat="1" applyFont="1" applyBorder="1" applyAlignment="1">
      <alignment/>
    </xf>
    <xf numFmtId="10" fontId="2" fillId="0" borderId="4" xfId="19" applyNumberFormat="1" applyFont="1" applyBorder="1" applyAlignment="1">
      <alignment/>
    </xf>
    <xf numFmtId="10" fontId="2" fillId="0" borderId="5" xfId="19" applyNumberFormat="1" applyFont="1" applyBorder="1" applyAlignment="1">
      <alignment/>
    </xf>
    <xf numFmtId="189" fontId="2" fillId="0" borderId="0" xfId="19" applyNumberFormat="1" applyFont="1" applyAlignment="1">
      <alignment/>
    </xf>
    <xf numFmtId="189" fontId="2" fillId="0" borderId="6" xfId="19" applyNumberFormat="1" applyFont="1" applyBorder="1" applyAlignment="1">
      <alignment/>
    </xf>
    <xf numFmtId="189" fontId="2" fillId="0" borderId="0" xfId="19" applyNumberFormat="1" applyFont="1" applyBorder="1" applyAlignment="1">
      <alignment/>
    </xf>
    <xf numFmtId="189" fontId="2" fillId="0" borderId="7" xfId="19" applyNumberFormat="1" applyFont="1" applyBorder="1" applyAlignment="1">
      <alignment/>
    </xf>
    <xf numFmtId="189" fontId="2" fillId="0" borderId="1" xfId="19" applyNumberFormat="1" applyFont="1" applyBorder="1" applyAlignment="1">
      <alignment/>
    </xf>
    <xf numFmtId="189" fontId="2" fillId="0" borderId="4" xfId="19" applyNumberFormat="1" applyFont="1" applyBorder="1" applyAlignment="1">
      <alignment/>
    </xf>
    <xf numFmtId="189" fontId="2" fillId="0" borderId="5" xfId="19" applyNumberFormat="1" applyFont="1" applyBorder="1" applyAlignment="1">
      <alignment/>
    </xf>
    <xf numFmtId="10" fontId="2" fillId="0" borderId="0" xfId="19" applyNumberFormat="1" applyFont="1" applyFill="1" applyBorder="1" applyAlignment="1">
      <alignment/>
    </xf>
    <xf numFmtId="10" fontId="2" fillId="0" borderId="6" xfId="19" applyNumberFormat="1" applyFont="1" applyFill="1" applyBorder="1" applyAlignment="1">
      <alignment/>
    </xf>
    <xf numFmtId="10" fontId="2" fillId="0" borderId="1" xfId="19" applyNumberFormat="1" applyFont="1" applyFill="1" applyBorder="1" applyAlignment="1">
      <alignment/>
    </xf>
    <xf numFmtId="10" fontId="2" fillId="0" borderId="4" xfId="19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8"/>
  <sheetViews>
    <sheetView tabSelected="1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48" sqref="B48"/>
    </sheetView>
  </sheetViews>
  <sheetFormatPr defaultColWidth="11.421875" defaultRowHeight="12.75"/>
  <cols>
    <col min="1" max="1" width="3.28125" style="1" customWidth="1"/>
    <col min="2" max="2" width="40.421875" style="1" customWidth="1"/>
    <col min="3" max="3" width="8.00390625" style="1" bestFit="1" customWidth="1"/>
    <col min="4" max="4" width="8.7109375" style="1" bestFit="1" customWidth="1"/>
    <col min="5" max="6" width="8.00390625" style="1" bestFit="1" customWidth="1"/>
    <col min="7" max="7" width="7.7109375" style="1" bestFit="1" customWidth="1"/>
    <col min="8" max="8" width="8.7109375" style="1" bestFit="1" customWidth="1"/>
    <col min="9" max="11" width="7.7109375" style="1" bestFit="1" customWidth="1"/>
    <col min="12" max="12" width="6.28125" style="1" hidden="1" customWidth="1"/>
    <col min="13" max="16384" width="11.421875" style="1" customWidth="1"/>
  </cols>
  <sheetData>
    <row r="1" ht="11.25"/>
    <row r="2" spans="2:12" ht="11.25">
      <c r="B2" s="45"/>
      <c r="C2" s="45"/>
      <c r="D2" s="45"/>
      <c r="E2" s="45"/>
      <c r="F2" s="45"/>
      <c r="G2" s="45" t="s">
        <v>0</v>
      </c>
      <c r="H2" s="45"/>
      <c r="I2" s="45"/>
      <c r="J2" s="45"/>
      <c r="K2" s="45"/>
      <c r="L2" s="45"/>
    </row>
    <row r="3" spans="2:12" ht="11.25">
      <c r="B3" s="45"/>
      <c r="C3" s="45"/>
      <c r="D3" s="45"/>
      <c r="E3" s="45"/>
      <c r="F3" s="45"/>
      <c r="G3" s="45" t="s">
        <v>1</v>
      </c>
      <c r="H3" s="45"/>
      <c r="I3" s="45"/>
      <c r="J3" s="45"/>
      <c r="K3" s="45"/>
      <c r="L3" s="45"/>
    </row>
    <row r="4" spans="2:12" ht="11.25">
      <c r="B4" s="45"/>
      <c r="C4" s="45"/>
      <c r="D4" s="45"/>
      <c r="E4" s="45"/>
      <c r="F4" s="45"/>
      <c r="G4" s="45" t="s">
        <v>2</v>
      </c>
      <c r="H4" s="45"/>
      <c r="I4" s="45"/>
      <c r="J4" s="45"/>
      <c r="K4" s="45"/>
      <c r="L4" s="45"/>
    </row>
    <row r="5" spans="2:12" ht="11.25">
      <c r="B5" s="44"/>
      <c r="C5" s="44"/>
      <c r="D5" s="44"/>
      <c r="E5" s="44"/>
      <c r="F5" s="44"/>
      <c r="G5" s="44" t="s">
        <v>3</v>
      </c>
      <c r="H5" s="44"/>
      <c r="I5" s="44"/>
      <c r="J5" s="44"/>
      <c r="K5" s="44"/>
      <c r="L5" s="44"/>
    </row>
    <row r="6" spans="1:12" ht="11.2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2" ht="11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1.25">
      <c r="A8" s="3"/>
      <c r="B8" s="3"/>
      <c r="C8" s="47">
        <v>2001</v>
      </c>
      <c r="D8" s="47"/>
      <c r="E8" s="47"/>
      <c r="F8" s="48"/>
      <c r="G8" s="46">
        <v>2000</v>
      </c>
      <c r="H8" s="47"/>
      <c r="I8" s="47"/>
      <c r="J8" s="48"/>
      <c r="K8" s="47" t="s">
        <v>4</v>
      </c>
      <c r="L8" s="47"/>
    </row>
    <row r="9" spans="1:12" ht="11.25">
      <c r="A9" s="4"/>
      <c r="B9" s="4"/>
      <c r="C9" s="5" t="s">
        <v>5</v>
      </c>
      <c r="D9" s="4" t="s">
        <v>6</v>
      </c>
      <c r="E9" s="4" t="s">
        <v>7</v>
      </c>
      <c r="F9" s="4" t="s">
        <v>8</v>
      </c>
      <c r="G9" s="6" t="s">
        <v>5</v>
      </c>
      <c r="H9" s="4" t="s">
        <v>6</v>
      </c>
      <c r="I9" s="4" t="s">
        <v>7</v>
      </c>
      <c r="J9" s="7" t="s">
        <v>8</v>
      </c>
      <c r="K9" s="8" t="s">
        <v>9</v>
      </c>
      <c r="L9" s="8" t="s">
        <v>10</v>
      </c>
    </row>
    <row r="10" spans="1:12" ht="11.25">
      <c r="A10" s="9" t="s">
        <v>11</v>
      </c>
      <c r="B10" s="9"/>
      <c r="C10" s="9"/>
      <c r="D10" s="9"/>
      <c r="E10" s="9"/>
      <c r="F10" s="10"/>
      <c r="G10" s="11"/>
      <c r="H10" s="12"/>
      <c r="I10" s="12"/>
      <c r="J10" s="13"/>
      <c r="K10" s="10"/>
      <c r="L10" s="10"/>
    </row>
    <row r="11" spans="1:12" ht="11.25">
      <c r="A11" s="1" t="s">
        <v>12</v>
      </c>
      <c r="C11" s="14">
        <v>16259</v>
      </c>
      <c r="D11" s="14">
        <v>31765</v>
      </c>
      <c r="E11" s="14">
        <v>13285</v>
      </c>
      <c r="F11" s="14">
        <v>26138</v>
      </c>
      <c r="G11" s="15">
        <v>22278</v>
      </c>
      <c r="H11" s="16">
        <v>13666</v>
      </c>
      <c r="I11" s="16">
        <v>12828</v>
      </c>
      <c r="J11" s="17">
        <v>17901</v>
      </c>
      <c r="K11" s="14">
        <v>17948</v>
      </c>
      <c r="L11" s="14">
        <v>13571</v>
      </c>
    </row>
    <row r="12" spans="1:12" ht="11.25">
      <c r="A12" s="1" t="s">
        <v>13</v>
      </c>
      <c r="C12" s="14">
        <v>1505</v>
      </c>
      <c r="D12" s="14">
        <v>6501</v>
      </c>
      <c r="E12" s="14">
        <v>1580</v>
      </c>
      <c r="F12" s="14">
        <v>10659</v>
      </c>
      <c r="G12" s="15">
        <v>6878</v>
      </c>
      <c r="H12" s="16">
        <v>6660</v>
      </c>
      <c r="I12" s="16">
        <v>5223</v>
      </c>
      <c r="J12" s="17">
        <v>13690</v>
      </c>
      <c r="K12" s="14">
        <v>14024</v>
      </c>
      <c r="L12" s="14">
        <v>7481</v>
      </c>
    </row>
    <row r="13" spans="1:12" ht="11.25">
      <c r="A13" s="1" t="s">
        <v>14</v>
      </c>
      <c r="C13" s="14">
        <f aca="true" t="shared" si="0" ref="C13:L13">C14+C15</f>
        <v>4139</v>
      </c>
      <c r="D13" s="14">
        <f t="shared" si="0"/>
        <v>6824</v>
      </c>
      <c r="E13" s="14">
        <f t="shared" si="0"/>
        <v>4350</v>
      </c>
      <c r="F13" s="14">
        <f t="shared" si="0"/>
        <v>4045</v>
      </c>
      <c r="G13" s="15">
        <f t="shared" si="0"/>
        <v>4033</v>
      </c>
      <c r="H13" s="16">
        <f t="shared" si="0"/>
        <v>3719</v>
      </c>
      <c r="I13" s="16">
        <f t="shared" si="0"/>
        <v>3753</v>
      </c>
      <c r="J13" s="17">
        <f t="shared" si="0"/>
        <v>3735</v>
      </c>
      <c r="K13" s="14">
        <f t="shared" si="0"/>
        <v>3451</v>
      </c>
      <c r="L13" s="14">
        <f t="shared" si="0"/>
        <v>4476</v>
      </c>
    </row>
    <row r="14" spans="2:12" ht="11.25">
      <c r="B14" s="1" t="s">
        <v>15</v>
      </c>
      <c r="C14" s="14">
        <v>4139</v>
      </c>
      <c r="D14" s="14">
        <v>6824</v>
      </c>
      <c r="E14" s="14">
        <v>4350</v>
      </c>
      <c r="F14" s="14">
        <v>4045</v>
      </c>
      <c r="G14" s="15">
        <v>4033</v>
      </c>
      <c r="H14" s="16">
        <v>3719</v>
      </c>
      <c r="I14" s="16">
        <v>3753</v>
      </c>
      <c r="J14" s="17">
        <v>3735</v>
      </c>
      <c r="K14" s="14">
        <v>3451</v>
      </c>
      <c r="L14" s="14">
        <v>4476</v>
      </c>
    </row>
    <row r="15" spans="2:12" ht="11.25">
      <c r="B15" s="1" t="s">
        <v>16</v>
      </c>
      <c r="C15" s="14">
        <v>0</v>
      </c>
      <c r="D15" s="14">
        <v>0</v>
      </c>
      <c r="E15" s="14">
        <v>0</v>
      </c>
      <c r="F15" s="14">
        <v>0</v>
      </c>
      <c r="G15" s="15">
        <v>0</v>
      </c>
      <c r="H15" s="16">
        <v>0</v>
      </c>
      <c r="I15" s="16">
        <v>0</v>
      </c>
      <c r="J15" s="17">
        <v>0</v>
      </c>
      <c r="K15" s="14">
        <v>0</v>
      </c>
      <c r="L15" s="14">
        <v>0</v>
      </c>
    </row>
    <row r="16" spans="1:12" ht="11.25">
      <c r="A16" s="1" t="s">
        <v>17</v>
      </c>
      <c r="C16" s="14">
        <v>3004</v>
      </c>
      <c r="D16" s="14">
        <v>17880</v>
      </c>
      <c r="E16" s="14">
        <v>4040</v>
      </c>
      <c r="F16" s="14">
        <v>10925</v>
      </c>
      <c r="G16" s="15">
        <v>10841</v>
      </c>
      <c r="H16" s="16">
        <v>2857</v>
      </c>
      <c r="I16" s="16">
        <v>2871</v>
      </c>
      <c r="J16" s="17">
        <v>58</v>
      </c>
      <c r="K16" s="14">
        <v>57</v>
      </c>
      <c r="L16" s="14">
        <v>57</v>
      </c>
    </row>
    <row r="17" spans="1:12" ht="11.25">
      <c r="A17" s="1" t="s">
        <v>18</v>
      </c>
      <c r="C17" s="14">
        <f aca="true" t="shared" si="1" ref="C17:L17">C18+C22</f>
        <v>2769</v>
      </c>
      <c r="D17" s="14">
        <f t="shared" si="1"/>
        <v>2237</v>
      </c>
      <c r="E17" s="14">
        <f t="shared" si="1"/>
        <v>2181</v>
      </c>
      <c r="F17" s="14">
        <f t="shared" si="1"/>
        <v>2095</v>
      </c>
      <c r="G17" s="15">
        <f t="shared" si="1"/>
        <v>2082</v>
      </c>
      <c r="H17" s="16">
        <f t="shared" si="1"/>
        <v>2464</v>
      </c>
      <c r="I17" s="16">
        <f t="shared" si="1"/>
        <v>2383</v>
      </c>
      <c r="J17" s="17">
        <f t="shared" si="1"/>
        <v>2080</v>
      </c>
      <c r="K17" s="14">
        <f t="shared" si="1"/>
        <v>2344</v>
      </c>
      <c r="L17" s="14">
        <f t="shared" si="1"/>
        <v>3041</v>
      </c>
    </row>
    <row r="18" spans="2:12" ht="11.25">
      <c r="B18" s="1" t="s">
        <v>15</v>
      </c>
      <c r="C18" s="14">
        <f aca="true" t="shared" si="2" ref="C18:L18">SUM(C19:C21)</f>
        <v>2769</v>
      </c>
      <c r="D18" s="14">
        <f t="shared" si="2"/>
        <v>2237</v>
      </c>
      <c r="E18" s="14">
        <f t="shared" si="2"/>
        <v>2181</v>
      </c>
      <c r="F18" s="14">
        <f t="shared" si="2"/>
        <v>2095</v>
      </c>
      <c r="G18" s="15">
        <f t="shared" si="2"/>
        <v>2082</v>
      </c>
      <c r="H18" s="16">
        <f t="shared" si="2"/>
        <v>2464</v>
      </c>
      <c r="I18" s="16">
        <f t="shared" si="2"/>
        <v>2383</v>
      </c>
      <c r="J18" s="17">
        <f t="shared" si="2"/>
        <v>2080</v>
      </c>
      <c r="K18" s="14">
        <f t="shared" si="2"/>
        <v>2344</v>
      </c>
      <c r="L18" s="14">
        <f t="shared" si="2"/>
        <v>3041</v>
      </c>
    </row>
    <row r="19" spans="2:12" ht="11.25">
      <c r="B19" s="1" t="s">
        <v>19</v>
      </c>
      <c r="C19" s="14">
        <v>0</v>
      </c>
      <c r="D19" s="14">
        <v>0</v>
      </c>
      <c r="E19" s="14">
        <v>0</v>
      </c>
      <c r="F19" s="14">
        <v>0</v>
      </c>
      <c r="G19" s="15">
        <v>0</v>
      </c>
      <c r="H19" s="16">
        <v>0</v>
      </c>
      <c r="I19" s="16">
        <v>0</v>
      </c>
      <c r="J19" s="17">
        <v>0</v>
      </c>
      <c r="K19" s="14">
        <v>0</v>
      </c>
      <c r="L19" s="14">
        <v>0</v>
      </c>
    </row>
    <row r="20" spans="2:12" ht="11.25">
      <c r="B20" s="1" t="s">
        <v>20</v>
      </c>
      <c r="C20" s="14">
        <f>1412+1357</f>
        <v>2769</v>
      </c>
      <c r="D20" s="14">
        <v>2237</v>
      </c>
      <c r="E20" s="14">
        <v>2181</v>
      </c>
      <c r="F20" s="14">
        <v>2095</v>
      </c>
      <c r="G20" s="15">
        <v>2082</v>
      </c>
      <c r="H20" s="16">
        <v>2464</v>
      </c>
      <c r="I20" s="16">
        <v>2383</v>
      </c>
      <c r="J20" s="17">
        <v>2080</v>
      </c>
      <c r="K20" s="14">
        <v>2344</v>
      </c>
      <c r="L20" s="14">
        <v>3041</v>
      </c>
    </row>
    <row r="21" spans="2:12" ht="11.25">
      <c r="B21" s="1" t="s">
        <v>21</v>
      </c>
      <c r="C21" s="14">
        <v>0</v>
      </c>
      <c r="D21" s="14">
        <v>0</v>
      </c>
      <c r="E21" s="14">
        <v>0</v>
      </c>
      <c r="F21" s="14">
        <v>0</v>
      </c>
      <c r="G21" s="15">
        <v>0</v>
      </c>
      <c r="H21" s="16">
        <v>0</v>
      </c>
      <c r="I21" s="16">
        <v>0</v>
      </c>
      <c r="J21" s="17">
        <v>0</v>
      </c>
      <c r="K21" s="14">
        <v>0</v>
      </c>
      <c r="L21" s="14">
        <v>0</v>
      </c>
    </row>
    <row r="22" spans="2:12" ht="11.25">
      <c r="B22" s="1" t="s">
        <v>16</v>
      </c>
      <c r="C22" s="14">
        <f aca="true" t="shared" si="3" ref="C22:L22">SUM(C23:C24)</f>
        <v>0</v>
      </c>
      <c r="D22" s="14">
        <f t="shared" si="3"/>
        <v>0</v>
      </c>
      <c r="E22" s="14">
        <f t="shared" si="3"/>
        <v>0</v>
      </c>
      <c r="F22" s="14">
        <f t="shared" si="3"/>
        <v>0</v>
      </c>
      <c r="G22" s="15">
        <f t="shared" si="3"/>
        <v>0</v>
      </c>
      <c r="H22" s="16">
        <f t="shared" si="3"/>
        <v>0</v>
      </c>
      <c r="I22" s="16">
        <f t="shared" si="3"/>
        <v>0</v>
      </c>
      <c r="J22" s="17">
        <f t="shared" si="3"/>
        <v>0</v>
      </c>
      <c r="K22" s="14">
        <f t="shared" si="3"/>
        <v>0</v>
      </c>
      <c r="L22" s="14">
        <f t="shared" si="3"/>
        <v>0</v>
      </c>
    </row>
    <row r="23" spans="2:12" ht="11.25">
      <c r="B23" s="1" t="s">
        <v>20</v>
      </c>
      <c r="C23" s="14">
        <v>0</v>
      </c>
      <c r="D23" s="14">
        <v>0</v>
      </c>
      <c r="E23" s="14">
        <v>0</v>
      </c>
      <c r="F23" s="14">
        <v>0</v>
      </c>
      <c r="G23" s="15">
        <v>0</v>
      </c>
      <c r="H23" s="16">
        <v>0</v>
      </c>
      <c r="I23" s="16">
        <v>0</v>
      </c>
      <c r="J23" s="17">
        <v>0</v>
      </c>
      <c r="K23" s="14">
        <v>0</v>
      </c>
      <c r="L23" s="14">
        <v>0</v>
      </c>
    </row>
    <row r="24" spans="2:12" ht="11.25">
      <c r="B24" s="1" t="s">
        <v>21</v>
      </c>
      <c r="C24" s="14">
        <v>0</v>
      </c>
      <c r="D24" s="14">
        <v>0</v>
      </c>
      <c r="E24" s="14">
        <v>0</v>
      </c>
      <c r="F24" s="14">
        <v>0</v>
      </c>
      <c r="G24" s="15">
        <v>0</v>
      </c>
      <c r="H24" s="16">
        <v>0</v>
      </c>
      <c r="I24" s="16">
        <v>0</v>
      </c>
      <c r="J24" s="17">
        <v>0</v>
      </c>
      <c r="K24" s="14">
        <v>0</v>
      </c>
      <c r="L24" s="14">
        <v>0</v>
      </c>
    </row>
    <row r="25" spans="1:12" ht="11.25">
      <c r="A25" s="2" t="s">
        <v>22</v>
      </c>
      <c r="B25" s="2"/>
      <c r="C25" s="18">
        <v>12620</v>
      </c>
      <c r="D25" s="18">
        <v>10596</v>
      </c>
      <c r="E25" s="18">
        <v>10411</v>
      </c>
      <c r="F25" s="18">
        <v>10214</v>
      </c>
      <c r="G25" s="19">
        <v>9968</v>
      </c>
      <c r="H25" s="18">
        <v>9870</v>
      </c>
      <c r="I25" s="18">
        <v>9776</v>
      </c>
      <c r="J25" s="20">
        <v>9694</v>
      </c>
      <c r="K25" s="18">
        <v>9995</v>
      </c>
      <c r="L25" s="18">
        <v>9910</v>
      </c>
    </row>
    <row r="26" spans="1:12" ht="11.25">
      <c r="A26" s="9" t="s">
        <v>23</v>
      </c>
      <c r="D26" s="14"/>
      <c r="F26" s="14"/>
      <c r="G26" s="15"/>
      <c r="H26" s="16"/>
      <c r="I26" s="16"/>
      <c r="J26" s="17"/>
      <c r="K26" s="14"/>
      <c r="L26" s="14"/>
    </row>
    <row r="27" spans="1:12" ht="11.25">
      <c r="A27" s="1" t="s">
        <v>12</v>
      </c>
      <c r="C27" s="14">
        <f>(C11+G11)/2</f>
        <v>19268.5</v>
      </c>
      <c r="D27" s="14">
        <f>(D11+H11)/2</f>
        <v>22715.5</v>
      </c>
      <c r="E27" s="14">
        <f>(E11+I11)/2</f>
        <v>13056.5</v>
      </c>
      <c r="F27" s="14">
        <f>(F11+J11)/2</f>
        <v>22019.5</v>
      </c>
      <c r="G27" s="15">
        <f>(G11+17948)/2</f>
        <v>20113</v>
      </c>
      <c r="H27" s="16">
        <f>(H11+13892)/2</f>
        <v>13779</v>
      </c>
      <c r="I27" s="16">
        <f>(I11+12916)/2</f>
        <v>12872</v>
      </c>
      <c r="J27" s="17">
        <f>(J11+22231)/2</f>
        <v>20066</v>
      </c>
      <c r="K27" s="14">
        <f>(K11+L11)/2</f>
        <v>15759.5</v>
      </c>
      <c r="L27" s="14">
        <f>(L11+131965)/2</f>
        <v>72768</v>
      </c>
    </row>
    <row r="28" spans="1:12" ht="11.25">
      <c r="A28" s="1" t="s">
        <v>24</v>
      </c>
      <c r="C28" s="14">
        <f aca="true" t="shared" si="4" ref="C28:L28">C29+C30</f>
        <v>11008.5</v>
      </c>
      <c r="D28" s="14">
        <f t="shared" si="4"/>
        <v>15640</v>
      </c>
      <c r="E28" s="14">
        <f t="shared" si="4"/>
        <v>7507</v>
      </c>
      <c r="F28" s="14">
        <f t="shared" si="4"/>
        <v>9381.5</v>
      </c>
      <c r="G28" s="15">
        <f t="shared" si="4"/>
        <v>9191</v>
      </c>
      <c r="H28" s="16">
        <f t="shared" si="4"/>
        <v>4978</v>
      </c>
      <c r="I28" s="16">
        <f t="shared" si="4"/>
        <v>5164.5</v>
      </c>
      <c r="J28" s="17">
        <f t="shared" si="4"/>
        <v>4191</v>
      </c>
      <c r="K28" s="14">
        <f t="shared" si="4"/>
        <v>4020.5</v>
      </c>
      <c r="L28" s="14">
        <f t="shared" si="4"/>
        <v>56621.5</v>
      </c>
    </row>
    <row r="29" spans="2:12" ht="11.25">
      <c r="B29" s="1" t="s">
        <v>14</v>
      </c>
      <c r="C29" s="14">
        <f>(C13+G13)/2</f>
        <v>4086</v>
      </c>
      <c r="D29" s="14">
        <f>(D13+H13)/2</f>
        <v>5271.5</v>
      </c>
      <c r="E29" s="14">
        <f>(E13+I13)/2</f>
        <v>4051.5</v>
      </c>
      <c r="F29" s="14">
        <f>(F13+J13)/2</f>
        <v>3890</v>
      </c>
      <c r="G29" s="15">
        <f>(G13+K13)/2</f>
        <v>3742</v>
      </c>
      <c r="H29" s="16">
        <f>(H13+3323)/2</f>
        <v>3521</v>
      </c>
      <c r="I29" s="16">
        <f>(I13+3648)/2</f>
        <v>3700.5</v>
      </c>
      <c r="J29" s="17">
        <f>(J13+4532)/2</f>
        <v>4133.5</v>
      </c>
      <c r="K29" s="14">
        <f>(K13+L13)/2</f>
        <v>3963.5</v>
      </c>
      <c r="L29" s="14">
        <f>(L13+76960)/2</f>
        <v>40718</v>
      </c>
    </row>
    <row r="30" spans="2:12" ht="11.25">
      <c r="B30" s="1" t="s">
        <v>17</v>
      </c>
      <c r="C30" s="14">
        <f>(C16+G16)/2</f>
        <v>6922.5</v>
      </c>
      <c r="D30" s="14">
        <f>(D16+H16)/2</f>
        <v>10368.5</v>
      </c>
      <c r="E30" s="14">
        <f>(E16+I16)/2</f>
        <v>3455.5</v>
      </c>
      <c r="F30" s="14">
        <f>(F16+J16)/2</f>
        <v>5491.5</v>
      </c>
      <c r="G30" s="15">
        <f>(G16+K16)/2</f>
        <v>5449</v>
      </c>
      <c r="H30" s="16">
        <f>(H16+57)/2</f>
        <v>1457</v>
      </c>
      <c r="I30" s="16">
        <f>(I16+57)/2</f>
        <v>1464</v>
      </c>
      <c r="J30" s="17">
        <f>(J16+57)/2</f>
        <v>57.5</v>
      </c>
      <c r="K30" s="14">
        <f>(K16+L16)/2</f>
        <v>57</v>
      </c>
      <c r="L30" s="14">
        <f>(L16+31750)/2</f>
        <v>15903.5</v>
      </c>
    </row>
    <row r="31" spans="1:12" ht="11.25">
      <c r="A31" s="2" t="s">
        <v>22</v>
      </c>
      <c r="B31" s="2"/>
      <c r="C31" s="18">
        <f>(C25+G25)/2</f>
        <v>11294</v>
      </c>
      <c r="D31" s="18">
        <f>(D25+H25)/2</f>
        <v>10233</v>
      </c>
      <c r="E31" s="18">
        <f>(E25+I25)/2</f>
        <v>10093.5</v>
      </c>
      <c r="F31" s="18">
        <f>(F25+J25)/2</f>
        <v>9954</v>
      </c>
      <c r="G31" s="19">
        <f>(G25+K25)/2</f>
        <v>9981.5</v>
      </c>
      <c r="H31" s="18">
        <f>(H25+9905)/2</f>
        <v>9887.5</v>
      </c>
      <c r="I31" s="18">
        <f>(I25+9058)/2</f>
        <v>9417</v>
      </c>
      <c r="J31" s="20">
        <f>(J25+8604)/2</f>
        <v>9149</v>
      </c>
      <c r="K31" s="18">
        <f>(K25+L25)/2</f>
        <v>9952.5</v>
      </c>
      <c r="L31" s="18">
        <f>(L25+17980)/2</f>
        <v>13945</v>
      </c>
    </row>
    <row r="32" spans="1:10" ht="11.25">
      <c r="A32" s="9" t="s">
        <v>25</v>
      </c>
      <c r="D32" s="14"/>
      <c r="F32" s="14"/>
      <c r="G32" s="21"/>
      <c r="H32" s="22"/>
      <c r="I32" s="22"/>
      <c r="J32" s="23"/>
    </row>
    <row r="33" spans="1:12" ht="11.25">
      <c r="A33" s="1" t="s">
        <v>26</v>
      </c>
      <c r="C33" s="24">
        <v>1368</v>
      </c>
      <c r="D33" s="14">
        <f>E33+359</f>
        <v>1138</v>
      </c>
      <c r="E33" s="14">
        <f>F33+348</f>
        <v>779</v>
      </c>
      <c r="F33" s="14">
        <v>431</v>
      </c>
      <c r="G33" s="15">
        <f>294+H33</f>
        <v>1115</v>
      </c>
      <c r="H33" s="16">
        <f>251+I33</f>
        <v>821</v>
      </c>
      <c r="I33" s="16">
        <f>255+J33</f>
        <v>570</v>
      </c>
      <c r="J33" s="17">
        <v>315</v>
      </c>
      <c r="K33" s="14">
        <v>747</v>
      </c>
      <c r="L33" s="14">
        <v>853</v>
      </c>
    </row>
    <row r="34" spans="1:12" ht="11.25">
      <c r="A34" s="1" t="s">
        <v>27</v>
      </c>
      <c r="C34" s="24">
        <v>69</v>
      </c>
      <c r="D34" s="14">
        <f>E34+16</f>
        <v>57</v>
      </c>
      <c r="E34" s="14">
        <f>F34+16</f>
        <v>41</v>
      </c>
      <c r="F34" s="14">
        <v>25</v>
      </c>
      <c r="G34" s="15">
        <f>22+H34</f>
        <v>80</v>
      </c>
      <c r="H34" s="16">
        <f>18+I34</f>
        <v>58</v>
      </c>
      <c r="I34" s="16">
        <f>20+J34</f>
        <v>40</v>
      </c>
      <c r="J34" s="17">
        <v>20</v>
      </c>
      <c r="K34" s="14">
        <v>102</v>
      </c>
      <c r="L34" s="14">
        <v>105</v>
      </c>
    </row>
    <row r="35" spans="1:12" ht="11.25">
      <c r="A35" s="1" t="s">
        <v>28</v>
      </c>
      <c r="C35" s="14">
        <f aca="true" t="shared" si="5" ref="C35:L35">C33-C34</f>
        <v>1299</v>
      </c>
      <c r="D35" s="14">
        <f t="shared" si="5"/>
        <v>1081</v>
      </c>
      <c r="E35" s="14">
        <f t="shared" si="5"/>
        <v>738</v>
      </c>
      <c r="F35" s="14">
        <f t="shared" si="5"/>
        <v>406</v>
      </c>
      <c r="G35" s="15">
        <f t="shared" si="5"/>
        <v>1035</v>
      </c>
      <c r="H35" s="16">
        <f t="shared" si="5"/>
        <v>763</v>
      </c>
      <c r="I35" s="16">
        <f t="shared" si="5"/>
        <v>530</v>
      </c>
      <c r="J35" s="17">
        <f t="shared" si="5"/>
        <v>295</v>
      </c>
      <c r="K35" s="14">
        <f t="shared" si="5"/>
        <v>645</v>
      </c>
      <c r="L35" s="14">
        <f t="shared" si="5"/>
        <v>748</v>
      </c>
    </row>
    <row r="36" spans="1:12" ht="11.25">
      <c r="A36" s="1" t="s">
        <v>29</v>
      </c>
      <c r="C36" s="24">
        <v>3102</v>
      </c>
      <c r="D36" s="14">
        <f>E36+272</f>
        <v>836</v>
      </c>
      <c r="E36" s="14">
        <f>F36+289</f>
        <v>564</v>
      </c>
      <c r="F36" s="14">
        <v>275</v>
      </c>
      <c r="G36" s="15">
        <f>245+H36</f>
        <v>951</v>
      </c>
      <c r="H36" s="16">
        <f>240+I36</f>
        <v>706</v>
      </c>
      <c r="I36" s="16">
        <f>233+J36</f>
        <v>466</v>
      </c>
      <c r="J36" s="17">
        <v>233</v>
      </c>
      <c r="K36" s="14">
        <v>1709</v>
      </c>
      <c r="L36" s="14">
        <v>79</v>
      </c>
    </row>
    <row r="37" spans="1:12" ht="11.25">
      <c r="A37" s="1" t="s">
        <v>30</v>
      </c>
      <c r="C37" s="14">
        <f aca="true" t="shared" si="6" ref="C37:L37">C35+C36</f>
        <v>4401</v>
      </c>
      <c r="D37" s="14">
        <f t="shared" si="6"/>
        <v>1917</v>
      </c>
      <c r="E37" s="14">
        <f t="shared" si="6"/>
        <v>1302</v>
      </c>
      <c r="F37" s="14">
        <f t="shared" si="6"/>
        <v>681</v>
      </c>
      <c r="G37" s="15">
        <f t="shared" si="6"/>
        <v>1986</v>
      </c>
      <c r="H37" s="16">
        <f t="shared" si="6"/>
        <v>1469</v>
      </c>
      <c r="I37" s="16">
        <f t="shared" si="6"/>
        <v>996</v>
      </c>
      <c r="J37" s="17">
        <f t="shared" si="6"/>
        <v>528</v>
      </c>
      <c r="K37" s="14">
        <f t="shared" si="6"/>
        <v>2354</v>
      </c>
      <c r="L37" s="14">
        <f t="shared" si="6"/>
        <v>827</v>
      </c>
    </row>
    <row r="38" spans="1:12" ht="11.25">
      <c r="A38" s="1" t="s">
        <v>31</v>
      </c>
      <c r="C38" s="24">
        <v>1740</v>
      </c>
      <c r="D38" s="14">
        <f>E38+430</f>
        <v>1281</v>
      </c>
      <c r="E38" s="14">
        <f>F38+424</f>
        <v>851</v>
      </c>
      <c r="F38" s="14">
        <v>427</v>
      </c>
      <c r="G38" s="15">
        <f>420+H38</f>
        <v>1561</v>
      </c>
      <c r="H38" s="16">
        <f>378+I38</f>
        <v>1141</v>
      </c>
      <c r="I38" s="16">
        <f>384+J38</f>
        <v>763</v>
      </c>
      <c r="J38" s="17">
        <v>379</v>
      </c>
      <c r="K38" s="14">
        <v>1586</v>
      </c>
      <c r="L38" s="14">
        <v>1523</v>
      </c>
    </row>
    <row r="39" spans="1:12" ht="11.25">
      <c r="A39" s="1" t="s">
        <v>32</v>
      </c>
      <c r="C39" s="14">
        <f aca="true" t="shared" si="7" ref="C39:L39">C37-C38</f>
        <v>2661</v>
      </c>
      <c r="D39" s="14">
        <f t="shared" si="7"/>
        <v>636</v>
      </c>
      <c r="E39" s="14">
        <f t="shared" si="7"/>
        <v>451</v>
      </c>
      <c r="F39" s="14">
        <f t="shared" si="7"/>
        <v>254</v>
      </c>
      <c r="G39" s="15">
        <f t="shared" si="7"/>
        <v>425</v>
      </c>
      <c r="H39" s="16">
        <f t="shared" si="7"/>
        <v>328</v>
      </c>
      <c r="I39" s="16">
        <f t="shared" si="7"/>
        <v>233</v>
      </c>
      <c r="J39" s="17">
        <f t="shared" si="7"/>
        <v>149</v>
      </c>
      <c r="K39" s="14">
        <f t="shared" si="7"/>
        <v>768</v>
      </c>
      <c r="L39" s="14">
        <f t="shared" si="7"/>
        <v>-696</v>
      </c>
    </row>
    <row r="40" spans="1:12" ht="11.25">
      <c r="A40" s="2" t="s">
        <v>33</v>
      </c>
      <c r="B40" s="2"/>
      <c r="C40" s="25">
        <v>2651</v>
      </c>
      <c r="D40" s="18">
        <f>E40+186</f>
        <v>628</v>
      </c>
      <c r="E40" s="18">
        <f>F40+197</f>
        <v>442</v>
      </c>
      <c r="F40" s="18">
        <v>245</v>
      </c>
      <c r="G40" s="19">
        <f>97+H40</f>
        <v>424</v>
      </c>
      <c r="H40" s="18">
        <f>95+I40</f>
        <v>327</v>
      </c>
      <c r="I40" s="18">
        <f>83+J40</f>
        <v>232</v>
      </c>
      <c r="J40" s="20">
        <v>149</v>
      </c>
      <c r="K40" s="18">
        <v>768</v>
      </c>
      <c r="L40" s="18">
        <v>-701</v>
      </c>
    </row>
    <row r="41" spans="1:12" ht="11.25">
      <c r="A41" s="9" t="s">
        <v>34</v>
      </c>
      <c r="D41" s="14"/>
      <c r="E41" s="14"/>
      <c r="G41" s="15"/>
      <c r="H41" s="16"/>
      <c r="I41" s="16"/>
      <c r="J41" s="17"/>
      <c r="K41" s="14"/>
      <c r="L41" s="14"/>
    </row>
    <row r="42" spans="1:12" ht="11.25">
      <c r="A42" s="1" t="s">
        <v>35</v>
      </c>
      <c r="C42" s="1">
        <v>13</v>
      </c>
      <c r="D42" s="14">
        <v>13</v>
      </c>
      <c r="E42" s="14">
        <v>15</v>
      </c>
      <c r="F42" s="14">
        <v>15</v>
      </c>
      <c r="G42" s="15">
        <v>46</v>
      </c>
      <c r="H42" s="16">
        <v>49</v>
      </c>
      <c r="I42" s="16">
        <v>53</v>
      </c>
      <c r="J42" s="17">
        <v>55</v>
      </c>
      <c r="K42" s="14">
        <v>63</v>
      </c>
      <c r="L42" s="14">
        <v>3</v>
      </c>
    </row>
    <row r="43" spans="1:12" ht="11.25">
      <c r="A43" s="1" t="s">
        <v>36</v>
      </c>
      <c r="C43" s="1">
        <v>200</v>
      </c>
      <c r="D43" s="14">
        <v>209</v>
      </c>
      <c r="E43" s="14">
        <v>209</v>
      </c>
      <c r="F43" s="14">
        <v>209</v>
      </c>
      <c r="G43" s="15">
        <v>200</v>
      </c>
      <c r="H43" s="16">
        <v>200</v>
      </c>
      <c r="I43" s="16">
        <v>200</v>
      </c>
      <c r="J43" s="17">
        <v>200</v>
      </c>
      <c r="K43" s="14">
        <v>200</v>
      </c>
      <c r="L43" s="14">
        <v>0</v>
      </c>
    </row>
    <row r="44" spans="1:12" ht="11.25">
      <c r="A44" s="1" t="s">
        <v>37</v>
      </c>
      <c r="C44" s="26">
        <f aca="true" t="shared" si="8" ref="C44:L44">C42/C13</f>
        <v>0.0031408552790529115</v>
      </c>
      <c r="D44" s="26">
        <f t="shared" si="8"/>
        <v>0.0019050410316529894</v>
      </c>
      <c r="E44" s="26">
        <f t="shared" si="8"/>
        <v>0.0034482758620689655</v>
      </c>
      <c r="F44" s="26">
        <f t="shared" si="8"/>
        <v>0.003708281829419036</v>
      </c>
      <c r="G44" s="27">
        <f t="shared" si="8"/>
        <v>0.011405901314158196</v>
      </c>
      <c r="H44" s="28">
        <f t="shared" si="8"/>
        <v>0.013175584834632966</v>
      </c>
      <c r="I44" s="28">
        <f t="shared" si="8"/>
        <v>0.014122035704769519</v>
      </c>
      <c r="J44" s="29">
        <f t="shared" si="8"/>
        <v>0.014725568942436412</v>
      </c>
      <c r="K44" s="26">
        <f t="shared" si="8"/>
        <v>0.018255578093306288</v>
      </c>
      <c r="L44" s="26">
        <f t="shared" si="8"/>
        <v>0.0006702412868632708</v>
      </c>
    </row>
    <row r="45" spans="1:12" ht="11.25">
      <c r="A45" s="1" t="s">
        <v>38</v>
      </c>
      <c r="C45" s="26">
        <f aca="true" t="shared" si="9" ref="C45:L45">C43/C42</f>
        <v>15.384615384615385</v>
      </c>
      <c r="D45" s="26">
        <f t="shared" si="9"/>
        <v>16.076923076923077</v>
      </c>
      <c r="E45" s="26">
        <f t="shared" si="9"/>
        <v>13.933333333333334</v>
      </c>
      <c r="F45" s="26">
        <f t="shared" si="9"/>
        <v>13.933333333333334</v>
      </c>
      <c r="G45" s="27">
        <f t="shared" si="9"/>
        <v>4.3478260869565215</v>
      </c>
      <c r="H45" s="28">
        <f t="shared" si="9"/>
        <v>4.081632653061225</v>
      </c>
      <c r="I45" s="28">
        <f t="shared" si="9"/>
        <v>3.7735849056603774</v>
      </c>
      <c r="J45" s="29">
        <f t="shared" si="9"/>
        <v>3.6363636363636362</v>
      </c>
      <c r="K45" s="26">
        <f t="shared" si="9"/>
        <v>3.1746031746031744</v>
      </c>
      <c r="L45" s="26">
        <f t="shared" si="9"/>
        <v>0</v>
      </c>
    </row>
    <row r="46" spans="1:12" ht="11.25">
      <c r="A46" s="2" t="s">
        <v>39</v>
      </c>
      <c r="B46" s="2"/>
      <c r="C46" s="30">
        <f aca="true" t="shared" si="10" ref="C46:L46">C43/C13</f>
        <v>0.048320850446967864</v>
      </c>
      <c r="D46" s="30">
        <f t="shared" si="10"/>
        <v>0.030627198124267292</v>
      </c>
      <c r="E46" s="30">
        <f t="shared" si="10"/>
        <v>0.048045977011494254</v>
      </c>
      <c r="F46" s="30">
        <f t="shared" si="10"/>
        <v>0.051668726823238566</v>
      </c>
      <c r="G46" s="31">
        <f t="shared" si="10"/>
        <v>0.049590875278948676</v>
      </c>
      <c r="H46" s="30">
        <f t="shared" si="10"/>
        <v>0.05377789728421619</v>
      </c>
      <c r="I46" s="30">
        <f t="shared" si="10"/>
        <v>0.05329070077271516</v>
      </c>
      <c r="J46" s="32">
        <f t="shared" si="10"/>
        <v>0.0535475234270415</v>
      </c>
      <c r="K46" s="30">
        <f t="shared" si="10"/>
        <v>0.05795421616922631</v>
      </c>
      <c r="L46" s="30">
        <f t="shared" si="10"/>
        <v>0</v>
      </c>
    </row>
    <row r="47" spans="1:10" ht="11.25">
      <c r="A47" s="9" t="s">
        <v>40</v>
      </c>
      <c r="G47" s="21"/>
      <c r="H47" s="22"/>
      <c r="I47" s="22"/>
      <c r="J47" s="23"/>
    </row>
    <row r="48" spans="1:12" ht="11.25">
      <c r="A48" s="1" t="s">
        <v>41</v>
      </c>
      <c r="C48" s="26">
        <f aca="true" t="shared" si="11" ref="C48:L48">C25/(C13+C16)</f>
        <v>1.766764664706706</v>
      </c>
      <c r="D48" s="26">
        <f t="shared" si="11"/>
        <v>0.42891839378238344</v>
      </c>
      <c r="E48" s="26">
        <f t="shared" si="11"/>
        <v>1.2408820023837903</v>
      </c>
      <c r="F48" s="26">
        <f t="shared" si="11"/>
        <v>0.6822979291917167</v>
      </c>
      <c r="G48" s="27">
        <f t="shared" si="11"/>
        <v>0.6701627000134462</v>
      </c>
      <c r="H48" s="28">
        <f t="shared" si="11"/>
        <v>1.5009124087591241</v>
      </c>
      <c r="I48" s="28">
        <f t="shared" si="11"/>
        <v>1.4758454106280192</v>
      </c>
      <c r="J48" s="29">
        <f t="shared" si="11"/>
        <v>2.555760611653045</v>
      </c>
      <c r="K48" s="26">
        <f t="shared" si="11"/>
        <v>2.8492018244013684</v>
      </c>
      <c r="L48" s="26">
        <f t="shared" si="11"/>
        <v>2.186190161041253</v>
      </c>
    </row>
    <row r="49" spans="1:12" ht="11.25">
      <c r="A49" s="2" t="s">
        <v>42</v>
      </c>
      <c r="B49" s="2"/>
      <c r="C49" s="30">
        <f>C25/C13</f>
        <v>3.0490456632036724</v>
      </c>
      <c r="D49" s="30">
        <f aca="true" t="shared" si="12" ref="D49:L49">D25/D11</f>
        <v>0.33357468912324884</v>
      </c>
      <c r="E49" s="30">
        <f t="shared" si="12"/>
        <v>0.7836657884832517</v>
      </c>
      <c r="F49" s="30">
        <f t="shared" si="12"/>
        <v>0.3907720560104063</v>
      </c>
      <c r="G49" s="31">
        <f t="shared" si="12"/>
        <v>0.44743693329742346</v>
      </c>
      <c r="H49" s="30">
        <f t="shared" si="12"/>
        <v>0.7222303527001317</v>
      </c>
      <c r="I49" s="30">
        <f t="shared" si="12"/>
        <v>0.7620829435609604</v>
      </c>
      <c r="J49" s="32">
        <f t="shared" si="12"/>
        <v>0.5415339925143847</v>
      </c>
      <c r="K49" s="30">
        <f t="shared" si="12"/>
        <v>0.5568865611767327</v>
      </c>
      <c r="L49" s="30">
        <f t="shared" si="12"/>
        <v>0.7302335863237787</v>
      </c>
    </row>
    <row r="50" spans="1:12" ht="11.25">
      <c r="A50" s="9" t="s">
        <v>43</v>
      </c>
      <c r="F50" s="33"/>
      <c r="G50" s="34"/>
      <c r="H50" s="35"/>
      <c r="I50" s="35"/>
      <c r="J50" s="36"/>
      <c r="K50" s="33"/>
      <c r="L50" s="33"/>
    </row>
    <row r="51" spans="1:12" ht="11.25">
      <c r="A51" s="1" t="s">
        <v>44</v>
      </c>
      <c r="C51" s="33">
        <f aca="true" t="shared" si="13" ref="C51:L51">C12/C17</f>
        <v>0.5435175153485012</v>
      </c>
      <c r="D51" s="33">
        <f t="shared" si="13"/>
        <v>2.9061242735806885</v>
      </c>
      <c r="E51" s="33">
        <f t="shared" si="13"/>
        <v>0.724438331040807</v>
      </c>
      <c r="F51" s="33">
        <f t="shared" si="13"/>
        <v>5.08782816229117</v>
      </c>
      <c r="G51" s="34">
        <f t="shared" si="13"/>
        <v>3.303554274735831</v>
      </c>
      <c r="H51" s="35">
        <f t="shared" si="13"/>
        <v>2.7029220779220777</v>
      </c>
      <c r="I51" s="35">
        <f t="shared" si="13"/>
        <v>2.1917750734368444</v>
      </c>
      <c r="J51" s="36">
        <f t="shared" si="13"/>
        <v>6.581730769230769</v>
      </c>
      <c r="K51" s="33">
        <f t="shared" si="13"/>
        <v>5.982935153583618</v>
      </c>
      <c r="L51" s="33">
        <f t="shared" si="13"/>
        <v>2.4600460374876687</v>
      </c>
    </row>
    <row r="52" spans="1:12" ht="11.25">
      <c r="A52" s="1" t="s">
        <v>45</v>
      </c>
      <c r="C52" s="33">
        <f aca="true" t="shared" si="14" ref="C52:L52">C12/C11</f>
        <v>0.09256411833446092</v>
      </c>
      <c r="D52" s="33">
        <f t="shared" si="14"/>
        <v>0.20465921611836926</v>
      </c>
      <c r="E52" s="33">
        <f t="shared" si="14"/>
        <v>0.11893112532931878</v>
      </c>
      <c r="F52" s="33">
        <f t="shared" si="14"/>
        <v>0.4077970770525671</v>
      </c>
      <c r="G52" s="34">
        <f t="shared" si="14"/>
        <v>0.30873507496184577</v>
      </c>
      <c r="H52" s="35">
        <f t="shared" si="14"/>
        <v>0.4873408458949217</v>
      </c>
      <c r="I52" s="35">
        <f t="shared" si="14"/>
        <v>0.40715622076707203</v>
      </c>
      <c r="J52" s="36">
        <f t="shared" si="14"/>
        <v>0.764761745153902</v>
      </c>
      <c r="K52" s="33">
        <f t="shared" si="14"/>
        <v>0.7813683975930465</v>
      </c>
      <c r="L52" s="33">
        <f t="shared" si="14"/>
        <v>0.5512489868101098</v>
      </c>
    </row>
    <row r="53" spans="1:12" ht="11.25">
      <c r="A53" s="2" t="s">
        <v>46</v>
      </c>
      <c r="B53" s="2"/>
      <c r="C53" s="37">
        <f aca="true" t="shared" si="15" ref="C53:L53">(C12+C16)/C17</f>
        <v>1.628385698808234</v>
      </c>
      <c r="D53" s="37">
        <f t="shared" si="15"/>
        <v>10.898971837282074</v>
      </c>
      <c r="E53" s="37">
        <f t="shared" si="15"/>
        <v>2.576799633195782</v>
      </c>
      <c r="F53" s="37">
        <f t="shared" si="15"/>
        <v>10.302625298329355</v>
      </c>
      <c r="G53" s="38">
        <f t="shared" si="15"/>
        <v>8.510566762728146</v>
      </c>
      <c r="H53" s="37">
        <f t="shared" si="15"/>
        <v>3.862418831168831</v>
      </c>
      <c r="I53" s="37">
        <f t="shared" si="15"/>
        <v>3.3965589592950063</v>
      </c>
      <c r="J53" s="39">
        <f t="shared" si="15"/>
        <v>6.609615384615385</v>
      </c>
      <c r="K53" s="37">
        <f t="shared" si="15"/>
        <v>6.007252559726963</v>
      </c>
      <c r="L53" s="37">
        <f t="shared" si="15"/>
        <v>2.478789871752713</v>
      </c>
    </row>
    <row r="54" spans="1:10" ht="11.25">
      <c r="A54" s="9" t="s">
        <v>47</v>
      </c>
      <c r="G54" s="21"/>
      <c r="H54" s="22"/>
      <c r="I54" s="22"/>
      <c r="J54" s="23"/>
    </row>
    <row r="55" spans="1:12" ht="11.25">
      <c r="A55" s="1" t="s">
        <v>48</v>
      </c>
      <c r="B55" s="22"/>
      <c r="C55" s="40">
        <f>C40/C28</f>
        <v>0.24081391651905346</v>
      </c>
      <c r="D55" s="40">
        <f>(D40/0.75)/D28</f>
        <v>0.053537936913895995</v>
      </c>
      <c r="E55" s="26">
        <f>(E40/0.5)/E28</f>
        <v>0.11775676035700014</v>
      </c>
      <c r="F55" s="26">
        <f>((F40)/0.25)/F28</f>
        <v>0.10446090710440761</v>
      </c>
      <c r="G55" s="41">
        <f>G40/G28</f>
        <v>0.04613208573604613</v>
      </c>
      <c r="H55" s="40">
        <f>(H40/0.75)/H28</f>
        <v>0.08758537565287264</v>
      </c>
      <c r="I55" s="40">
        <f>(I40/0.5)/I28</f>
        <v>0.08984412818278632</v>
      </c>
      <c r="J55" s="29">
        <f>((J40)/0.25)/J28</f>
        <v>0.1422094965402052</v>
      </c>
      <c r="K55" s="26">
        <f>K40/K28</f>
        <v>0.19102101728640716</v>
      </c>
      <c r="L55" s="26">
        <f>L40/L28</f>
        <v>-0.012380456187137396</v>
      </c>
    </row>
    <row r="56" spans="1:12" ht="11.25">
      <c r="A56" s="1" t="s">
        <v>49</v>
      </c>
      <c r="B56" s="22"/>
      <c r="C56" s="40">
        <f>C40/C27</f>
        <v>0.13758206399045073</v>
      </c>
      <c r="D56" s="40">
        <f>(D40/0.75)/D27</f>
        <v>0.03686176105889517</v>
      </c>
      <c r="E56" s="26">
        <f>(E40/0.5)/E27</f>
        <v>0.06770574043579826</v>
      </c>
      <c r="F56" s="26">
        <f>((F40)/0.25)/F27</f>
        <v>0.04450600604010082</v>
      </c>
      <c r="G56" s="41">
        <f>G40/G27</f>
        <v>0.02108089295480535</v>
      </c>
      <c r="H56" s="40">
        <f>(H40/0.75)/H27</f>
        <v>0.03164235430727919</v>
      </c>
      <c r="I56" s="40">
        <f>(I40/0.5)/I27</f>
        <v>0.036047234307022995</v>
      </c>
      <c r="J56" s="29">
        <f>((J40)/0.25)/J27</f>
        <v>0.02970198345459982</v>
      </c>
      <c r="K56" s="26">
        <f>K40/K27</f>
        <v>0.04873251054919255</v>
      </c>
      <c r="L56" s="26">
        <f>L40/L27</f>
        <v>-0.00963335532102023</v>
      </c>
    </row>
    <row r="57" spans="1:12" ht="11.25">
      <c r="A57" s="1" t="s">
        <v>50</v>
      </c>
      <c r="B57" s="22"/>
      <c r="C57" s="40">
        <f>+C40/C31</f>
        <v>0.23472640340003542</v>
      </c>
      <c r="D57" s="40">
        <f>(D40/0.75)/D31</f>
        <v>0.0818267696016157</v>
      </c>
      <c r="E57" s="26">
        <f>(E40/0.5)/E31</f>
        <v>0.08758111656016249</v>
      </c>
      <c r="F57" s="26">
        <f>((F40)/0.25)/F31</f>
        <v>0.09845288326300984</v>
      </c>
      <c r="G57" s="41">
        <f>+G40/G31</f>
        <v>0.04247858538295847</v>
      </c>
      <c r="H57" s="40">
        <f>(H40/0.75)/H31</f>
        <v>0.044096080910240205</v>
      </c>
      <c r="I57" s="40">
        <f>(I40/0.5)/I31</f>
        <v>0.049272592120632897</v>
      </c>
      <c r="J57" s="29">
        <f>((J40)/0.25)/J31</f>
        <v>0.06514373155536124</v>
      </c>
      <c r="K57" s="26">
        <f>K40/K31</f>
        <v>0.07716654107008289</v>
      </c>
      <c r="L57" s="26">
        <f>L40/L31</f>
        <v>-0.05026891358910004</v>
      </c>
    </row>
    <row r="58" spans="1:12" ht="11.25">
      <c r="A58" s="1" t="s">
        <v>51</v>
      </c>
      <c r="B58" s="22"/>
      <c r="C58" s="40">
        <f>C33/C28</f>
        <v>0.12426761139119771</v>
      </c>
      <c r="D58" s="40">
        <f>(D33/0.75)/D28</f>
        <v>0.09701619778346121</v>
      </c>
      <c r="E58" s="26">
        <f>(E33/0.5)/E28</f>
        <v>0.2075396296789663</v>
      </c>
      <c r="F58" s="26">
        <f>((F33)/0.25)/F28</f>
        <v>0.18376592229387625</v>
      </c>
      <c r="G58" s="41">
        <f>G33/G28</f>
        <v>0.12131432923512131</v>
      </c>
      <c r="H58" s="40">
        <f>(H33/0.75)/H28</f>
        <v>0.21990089728137138</v>
      </c>
      <c r="I58" s="40">
        <f>(I33/0.5)/I28</f>
        <v>0.22073772872494918</v>
      </c>
      <c r="J58" s="29">
        <f>((J33)/0.25)/J28</f>
        <v>0.3006442376521117</v>
      </c>
      <c r="K58" s="26">
        <f>K33/K28</f>
        <v>0.18579778634498198</v>
      </c>
      <c r="L58" s="26">
        <f>L33/L27</f>
        <v>0.011722185576077397</v>
      </c>
    </row>
    <row r="59" spans="1:12" ht="11.25">
      <c r="A59" s="1" t="s">
        <v>52</v>
      </c>
      <c r="B59" s="22"/>
      <c r="C59" s="40">
        <f>C34/C28</f>
        <v>0.0062678839078893584</v>
      </c>
      <c r="D59" s="40">
        <f>(D34/0.75)/D28</f>
        <v>0.004859335038363171</v>
      </c>
      <c r="E59" s="26">
        <f>(E34/0.5)/E28</f>
        <v>0.01092313840415612</v>
      </c>
      <c r="F59" s="26">
        <f>((F34)/0.25)/F28</f>
        <v>0.010659276235143634</v>
      </c>
      <c r="G59" s="41">
        <f>G34/G28</f>
        <v>0.008704167120008705</v>
      </c>
      <c r="H59" s="40">
        <f>(H34/0.75)/H28</f>
        <v>0.015535020758001873</v>
      </c>
      <c r="I59" s="40">
        <f>(I34/0.5)/I28</f>
        <v>0.015490366928066608</v>
      </c>
      <c r="J59" s="29">
        <f>((J34)/0.25)/J28</f>
        <v>0.0190885230255309</v>
      </c>
      <c r="K59" s="26">
        <f>K34/K28</f>
        <v>0.02536997885835095</v>
      </c>
      <c r="L59" s="26">
        <f>L34/L27</f>
        <v>0.0014429419525065963</v>
      </c>
    </row>
    <row r="60" spans="1:12" ht="11.25">
      <c r="A60" s="1" t="s">
        <v>53</v>
      </c>
      <c r="B60" s="22"/>
      <c r="C60" s="40">
        <f>C35/C28</f>
        <v>0.11799972748330835</v>
      </c>
      <c r="D60" s="40">
        <f>(D35/0.75)/D28</f>
        <v>0.09215686274509803</v>
      </c>
      <c r="E60" s="26">
        <f>(E35/0.5)/E28</f>
        <v>0.19661649127481018</v>
      </c>
      <c r="F60" s="26">
        <f>((F35)/0.25)/F28</f>
        <v>0.1731066460587326</v>
      </c>
      <c r="G60" s="41">
        <f>G35/G28</f>
        <v>0.11261016211511261</v>
      </c>
      <c r="H60" s="40">
        <f>(H35/0.75)/H28</f>
        <v>0.2043658765233695</v>
      </c>
      <c r="I60" s="40">
        <f>(I35/0.5)/I28</f>
        <v>0.20524736179688258</v>
      </c>
      <c r="J60" s="29">
        <f>((J35)/0.25)/J28</f>
        <v>0.28155571462658074</v>
      </c>
      <c r="K60" s="26">
        <f>K35/K28</f>
        <v>0.16042780748663102</v>
      </c>
      <c r="L60" s="26">
        <f>L35/L27</f>
        <v>0.0102792436235708</v>
      </c>
    </row>
    <row r="61" spans="1:12" ht="11.25">
      <c r="A61" s="1" t="s">
        <v>54</v>
      </c>
      <c r="B61" s="22"/>
      <c r="C61" s="40">
        <f>C38/C37</f>
        <v>0.39536468984321743</v>
      </c>
      <c r="D61" s="40">
        <f>(D38/0.75)/(D37/0.75)</f>
        <v>0.6682316118935837</v>
      </c>
      <c r="E61" s="26">
        <f>(E38/0.5)/(E37/0.5)</f>
        <v>0.6536098310291859</v>
      </c>
      <c r="F61" s="26">
        <f>(F38/0.25)/(F37/0.25)</f>
        <v>0.6270190895741556</v>
      </c>
      <c r="G61" s="41">
        <f>G38/G37</f>
        <v>0.7860020140986909</v>
      </c>
      <c r="H61" s="40">
        <f>(H38/0.75)/(H37/0.75)</f>
        <v>0.776718856364874</v>
      </c>
      <c r="I61" s="40">
        <f>(I38/0.5)/(I37/0.5)</f>
        <v>0.7660642570281124</v>
      </c>
      <c r="J61" s="29">
        <f>(J38/0.25)/(J37/0.25)</f>
        <v>0.7178030303030303</v>
      </c>
      <c r="K61" s="26">
        <f>K38/K37</f>
        <v>0.6737468139337298</v>
      </c>
      <c r="L61" s="26">
        <f>L38/L37</f>
        <v>1.841596130592503</v>
      </c>
    </row>
    <row r="62" spans="1:12" ht="11.25">
      <c r="A62" s="2" t="s">
        <v>55</v>
      </c>
      <c r="B62" s="2"/>
      <c r="C62" s="42">
        <f>C36/C28</f>
        <v>0.28178225916337374</v>
      </c>
      <c r="D62" s="42">
        <f>(D36/0.75)/D28</f>
        <v>0.07127024722932652</v>
      </c>
      <c r="E62" s="30">
        <f>(E36/0.5)/E28</f>
        <v>0.15025975755961102</v>
      </c>
      <c r="F62" s="30">
        <f>(F36/0.25)/F28</f>
        <v>0.11725203858657997</v>
      </c>
      <c r="G62" s="43">
        <f>G36/G28</f>
        <v>0.10347078663910347</v>
      </c>
      <c r="H62" s="42">
        <f>(H36/0.75)/H28</f>
        <v>0.1890987009508504</v>
      </c>
      <c r="I62" s="42">
        <f>(I36/0.5)/I28</f>
        <v>0.180462774711976</v>
      </c>
      <c r="J62" s="32">
        <f>(J36/0.25)/J28</f>
        <v>0.22238129324743497</v>
      </c>
      <c r="K62" s="30">
        <f>K36/K28</f>
        <v>0.42507150851884096</v>
      </c>
      <c r="L62" s="30">
        <f>L36/L27</f>
        <v>0.0010856420404573438</v>
      </c>
    </row>
    <row r="63" spans="1:10" ht="11.25">
      <c r="A63" s="9" t="s">
        <v>56</v>
      </c>
      <c r="G63" s="21"/>
      <c r="H63" s="22"/>
      <c r="I63" s="22"/>
      <c r="J63" s="23"/>
    </row>
    <row r="64" spans="1:12" ht="11.25">
      <c r="A64" s="1" t="s">
        <v>57</v>
      </c>
      <c r="C64" s="1">
        <v>32</v>
      </c>
      <c r="D64" s="14">
        <v>33</v>
      </c>
      <c r="E64" s="14">
        <v>33</v>
      </c>
      <c r="F64" s="14">
        <v>32</v>
      </c>
      <c r="G64" s="15">
        <v>32</v>
      </c>
      <c r="H64" s="16">
        <v>31</v>
      </c>
      <c r="I64" s="16">
        <v>33</v>
      </c>
      <c r="J64" s="17">
        <v>33</v>
      </c>
      <c r="K64" s="14">
        <v>32</v>
      </c>
      <c r="L64" s="14">
        <v>31</v>
      </c>
    </row>
    <row r="65" spans="1:12" ht="11.25">
      <c r="A65" s="1" t="s">
        <v>58</v>
      </c>
      <c r="C65" s="1">
        <v>1</v>
      </c>
      <c r="D65" s="14">
        <v>1</v>
      </c>
      <c r="E65" s="14">
        <v>1</v>
      </c>
      <c r="F65" s="14">
        <v>1</v>
      </c>
      <c r="G65" s="15">
        <v>1</v>
      </c>
      <c r="H65" s="16">
        <v>1</v>
      </c>
      <c r="I65" s="16">
        <v>1</v>
      </c>
      <c r="J65" s="17">
        <v>1</v>
      </c>
      <c r="K65" s="14">
        <v>1</v>
      </c>
      <c r="L65" s="14">
        <v>1</v>
      </c>
    </row>
    <row r="66" spans="1:12" ht="11.25">
      <c r="A66" s="1" t="s">
        <v>59</v>
      </c>
      <c r="C66" s="14">
        <f aca="true" t="shared" si="16" ref="C66:L66">C13/C64</f>
        <v>129.34375</v>
      </c>
      <c r="D66" s="14">
        <f t="shared" si="16"/>
        <v>206.78787878787878</v>
      </c>
      <c r="E66" s="14">
        <f t="shared" si="16"/>
        <v>131.8181818181818</v>
      </c>
      <c r="F66" s="14">
        <f t="shared" si="16"/>
        <v>126.40625</v>
      </c>
      <c r="G66" s="15">
        <f t="shared" si="16"/>
        <v>126.03125</v>
      </c>
      <c r="H66" s="16">
        <f t="shared" si="16"/>
        <v>119.96774193548387</v>
      </c>
      <c r="I66" s="16">
        <f t="shared" si="16"/>
        <v>113.72727272727273</v>
      </c>
      <c r="J66" s="17">
        <f t="shared" si="16"/>
        <v>113.18181818181819</v>
      </c>
      <c r="K66" s="14">
        <f t="shared" si="16"/>
        <v>107.84375</v>
      </c>
      <c r="L66" s="14">
        <f t="shared" si="16"/>
        <v>144.38709677419354</v>
      </c>
    </row>
    <row r="67" spans="1:12" ht="11.25">
      <c r="A67" s="1" t="s">
        <v>60</v>
      </c>
      <c r="C67" s="14">
        <f aca="true" t="shared" si="17" ref="C67:L67">C17/C64</f>
        <v>86.53125</v>
      </c>
      <c r="D67" s="14">
        <f t="shared" si="17"/>
        <v>67.78787878787878</v>
      </c>
      <c r="E67" s="14">
        <f t="shared" si="17"/>
        <v>66.0909090909091</v>
      </c>
      <c r="F67" s="14">
        <f t="shared" si="17"/>
        <v>65.46875</v>
      </c>
      <c r="G67" s="15">
        <f t="shared" si="17"/>
        <v>65.0625</v>
      </c>
      <c r="H67" s="16">
        <f t="shared" si="17"/>
        <v>79.48387096774194</v>
      </c>
      <c r="I67" s="16">
        <f t="shared" si="17"/>
        <v>72.21212121212122</v>
      </c>
      <c r="J67" s="17">
        <f t="shared" si="17"/>
        <v>63.03030303030303</v>
      </c>
      <c r="K67" s="14">
        <f t="shared" si="17"/>
        <v>73.25</v>
      </c>
      <c r="L67" s="14">
        <f t="shared" si="17"/>
        <v>98.09677419354838</v>
      </c>
    </row>
    <row r="68" spans="1:12" ht="11.25">
      <c r="A68" s="2" t="s">
        <v>61</v>
      </c>
      <c r="B68" s="2"/>
      <c r="C68" s="18">
        <f aca="true" t="shared" si="18" ref="C68:L68">(C40/C64)</f>
        <v>82.84375</v>
      </c>
      <c r="D68" s="18">
        <f t="shared" si="18"/>
        <v>19.03030303030303</v>
      </c>
      <c r="E68" s="18">
        <f t="shared" si="18"/>
        <v>13.393939393939394</v>
      </c>
      <c r="F68" s="18">
        <f t="shared" si="18"/>
        <v>7.65625</v>
      </c>
      <c r="G68" s="19">
        <f t="shared" si="18"/>
        <v>13.25</v>
      </c>
      <c r="H68" s="18">
        <f t="shared" si="18"/>
        <v>10.548387096774194</v>
      </c>
      <c r="I68" s="18">
        <f t="shared" si="18"/>
        <v>7.03030303030303</v>
      </c>
      <c r="J68" s="20">
        <f t="shared" si="18"/>
        <v>4.515151515151516</v>
      </c>
      <c r="K68" s="18">
        <f t="shared" si="18"/>
        <v>24</v>
      </c>
      <c r="L68" s="18">
        <f t="shared" si="18"/>
        <v>-22.612903225806452</v>
      </c>
    </row>
    <row r="69" spans="1:10" ht="11.25">
      <c r="A69" s="9" t="s">
        <v>62</v>
      </c>
      <c r="G69" s="21"/>
      <c r="H69" s="22"/>
      <c r="I69" s="22"/>
      <c r="J69" s="23"/>
    </row>
    <row r="70" spans="1:12" ht="11.25">
      <c r="A70" s="1" t="s">
        <v>63</v>
      </c>
      <c r="C70" s="26">
        <f>(C11/G11)-1</f>
        <v>-0.2701768560912111</v>
      </c>
      <c r="D70" s="26">
        <f>(D11/H11)-1</f>
        <v>1.324381677154983</v>
      </c>
      <c r="E70" s="26">
        <f>(E11/I11)-1</f>
        <v>0.03562519488618654</v>
      </c>
      <c r="F70" s="26">
        <f>(F11/J11)-1</f>
        <v>0.4601418915144406</v>
      </c>
      <c r="G70" s="27">
        <f>(G11/K11)-1</f>
        <v>0.24125250724314684</v>
      </c>
      <c r="H70" s="28">
        <f>(H11/13892)-1</f>
        <v>-0.016268355888281016</v>
      </c>
      <c r="I70" s="28">
        <f>(I11/12916)-1</f>
        <v>-0.006813254877671149</v>
      </c>
      <c r="J70" s="29">
        <f>(J11/22231)-1</f>
        <v>-0.19477306463946742</v>
      </c>
      <c r="K70" s="26">
        <f>(K11/L11)-1</f>
        <v>0.32252597450445797</v>
      </c>
      <c r="L70" s="26">
        <f>(L11/131965)-1</f>
        <v>-0.897162126321373</v>
      </c>
    </row>
    <row r="71" spans="1:12" ht="11.25">
      <c r="A71" s="1" t="s">
        <v>64</v>
      </c>
      <c r="C71" s="26">
        <f aca="true" t="shared" si="19" ref="C71:E72">(C13/G13)-1</f>
        <v>0.026283163897842687</v>
      </c>
      <c r="D71" s="26">
        <f t="shared" si="19"/>
        <v>0.8349018553374563</v>
      </c>
      <c r="E71" s="26">
        <f t="shared" si="19"/>
        <v>0.15907274180655473</v>
      </c>
      <c r="F71" s="26">
        <f>F13/J13-1</f>
        <v>0.08299866131191425</v>
      </c>
      <c r="G71" s="27">
        <f>(G13/K13)-1</f>
        <v>0.16864676905244846</v>
      </c>
      <c r="H71" s="28">
        <f>H13/3323</f>
        <v>1.1191694252181763</v>
      </c>
      <c r="I71" s="28">
        <f>I13/3648-1</f>
        <v>0.028782894736842035</v>
      </c>
      <c r="J71" s="29">
        <f>J13/4532-1</f>
        <v>-0.1758605472197705</v>
      </c>
      <c r="K71" s="26">
        <f>(K13/L13)-1</f>
        <v>-0.2289991063449508</v>
      </c>
      <c r="L71" s="26">
        <f>L13/76960-1</f>
        <v>-0.9418399168399169</v>
      </c>
    </row>
    <row r="72" spans="2:12" ht="11.25">
      <c r="B72" s="1" t="s">
        <v>15</v>
      </c>
      <c r="C72" s="26">
        <f t="shared" si="19"/>
        <v>0.026283163897842687</v>
      </c>
      <c r="D72" s="26">
        <f t="shared" si="19"/>
        <v>0.8349018553374563</v>
      </c>
      <c r="E72" s="26">
        <f t="shared" si="19"/>
        <v>0.15907274180655473</v>
      </c>
      <c r="F72" s="26">
        <f>(F14/J14)-1</f>
        <v>0.08299866131191425</v>
      </c>
      <c r="G72" s="27">
        <f>(G14/K14)-1</f>
        <v>0.16864676905244846</v>
      </c>
      <c r="H72" s="28">
        <f>(H14/3323)-1</f>
        <v>0.1191694252181763</v>
      </c>
      <c r="I72" s="28">
        <f>(I14/3648)-1</f>
        <v>0.028782894736842035</v>
      </c>
      <c r="J72" s="29">
        <f>(J14/4532)-1</f>
        <v>-0.1758605472197705</v>
      </c>
      <c r="K72" s="26">
        <f>(K14/L14)-1</f>
        <v>-0.2289991063449508</v>
      </c>
      <c r="L72" s="26">
        <f>(L14/4873)-1</f>
        <v>-0.0814693207469731</v>
      </c>
    </row>
    <row r="73" spans="2:12" ht="11.25">
      <c r="B73" s="1" t="s">
        <v>16</v>
      </c>
      <c r="C73" s="26">
        <v>0</v>
      </c>
      <c r="D73" s="26">
        <v>0</v>
      </c>
      <c r="E73" s="26">
        <v>0</v>
      </c>
      <c r="F73" s="26">
        <v>0</v>
      </c>
      <c r="G73" s="27">
        <v>0</v>
      </c>
      <c r="H73" s="28">
        <v>0</v>
      </c>
      <c r="I73" s="28">
        <v>0</v>
      </c>
      <c r="J73" s="29">
        <f>(J15/72087)-1</f>
        <v>-1</v>
      </c>
      <c r="K73" s="26">
        <v>0</v>
      </c>
      <c r="L73" s="26">
        <f>(L15/72087)-1</f>
        <v>-1</v>
      </c>
    </row>
    <row r="74" spans="1:12" ht="11.25">
      <c r="A74" s="1" t="s">
        <v>65</v>
      </c>
      <c r="C74" s="26">
        <f aca="true" t="shared" si="20" ref="C74:G75">(C17/G17)-1</f>
        <v>0.32997118155619587</v>
      </c>
      <c r="D74" s="26">
        <f t="shared" si="20"/>
        <v>-0.09212662337662336</v>
      </c>
      <c r="E74" s="26">
        <f t="shared" si="20"/>
        <v>-0.08476710029374734</v>
      </c>
      <c r="F74" s="26">
        <f t="shared" si="20"/>
        <v>0.007211538461538547</v>
      </c>
      <c r="G74" s="27">
        <f t="shared" si="20"/>
        <v>-0.11177474402730381</v>
      </c>
      <c r="H74" s="28">
        <f>H17/2396-1</f>
        <v>0.028380634390651194</v>
      </c>
      <c r="I74" s="28">
        <f>I17/2975-1</f>
        <v>-0.1989915966386555</v>
      </c>
      <c r="J74" s="29">
        <f>J17/13148-1</f>
        <v>-0.8418010343778521</v>
      </c>
      <c r="K74" s="26">
        <f>(K17/L17)-1</f>
        <v>-0.2292009207497534</v>
      </c>
      <c r="L74" s="26">
        <f>L17/88220-1</f>
        <v>-0.9655293584221265</v>
      </c>
    </row>
    <row r="75" spans="2:12" ht="11.25">
      <c r="B75" s="1" t="s">
        <v>15</v>
      </c>
      <c r="C75" s="26">
        <f t="shared" si="20"/>
        <v>0.32997118155619587</v>
      </c>
      <c r="D75" s="26">
        <f t="shared" si="20"/>
        <v>-0.09212662337662336</v>
      </c>
      <c r="E75" s="26">
        <f t="shared" si="20"/>
        <v>-0.08476710029374734</v>
      </c>
      <c r="F75" s="26">
        <f t="shared" si="20"/>
        <v>0.007211538461538547</v>
      </c>
      <c r="G75" s="27">
        <f t="shared" si="20"/>
        <v>-0.11177474402730381</v>
      </c>
      <c r="H75" s="28">
        <f>(H18/2396)-1</f>
        <v>0.028380634390651194</v>
      </c>
      <c r="I75" s="28">
        <f>(I18/2975)-1</f>
        <v>-0.1989915966386555</v>
      </c>
      <c r="J75" s="29">
        <f>(J18/13148)-1</f>
        <v>-0.8418010343778521</v>
      </c>
      <c r="K75" s="26">
        <f>(K18/L18)-1</f>
        <v>-0.2292009207497534</v>
      </c>
      <c r="L75" s="26">
        <f>(L18/2207)-1</f>
        <v>0.37788853647485277</v>
      </c>
    </row>
    <row r="76" spans="2:12" ht="11.25">
      <c r="B76" s="1" t="s">
        <v>16</v>
      </c>
      <c r="C76" s="26">
        <v>0</v>
      </c>
      <c r="D76" s="26">
        <v>0</v>
      </c>
      <c r="E76" s="26">
        <v>0</v>
      </c>
      <c r="F76" s="26">
        <v>0</v>
      </c>
      <c r="G76" s="27">
        <v>0</v>
      </c>
      <c r="H76" s="28">
        <v>0</v>
      </c>
      <c r="I76" s="28">
        <v>0</v>
      </c>
      <c r="J76" s="29">
        <v>0</v>
      </c>
      <c r="K76" s="26">
        <v>0</v>
      </c>
      <c r="L76" s="26">
        <f>L22/86013-1</f>
        <v>-1</v>
      </c>
    </row>
    <row r="77" spans="1:12" ht="11.25">
      <c r="A77" s="1" t="s">
        <v>66</v>
      </c>
      <c r="C77" s="26">
        <f>(C25/G25)-1</f>
        <v>0.2660513643659712</v>
      </c>
      <c r="D77" s="26">
        <f>(D25/H25)-1</f>
        <v>0.07355623100303954</v>
      </c>
      <c r="E77" s="26">
        <f>(E25/I25)-1</f>
        <v>0.06495499181669384</v>
      </c>
      <c r="F77" s="26">
        <f>(F25/J25)-1</f>
        <v>0.05364142768722924</v>
      </c>
      <c r="G77" s="27">
        <f>(G25/K25)-1</f>
        <v>-0.0027013506753377214</v>
      </c>
      <c r="H77" s="28">
        <f>(H25/9905)-1</f>
        <v>-0.0035335689045936647</v>
      </c>
      <c r="I77" s="28">
        <f>(I25/34818)-1</f>
        <v>-0.7192256878625998</v>
      </c>
      <c r="J77" s="29">
        <f>(J25/8604)-1</f>
        <v>0.1266852626685262</v>
      </c>
      <c r="K77" s="26">
        <f>(K25/L25)-1</f>
        <v>0.008577194752775075</v>
      </c>
      <c r="L77" s="26">
        <f>(L25/17980)-1</f>
        <v>-0.44883203559510565</v>
      </c>
    </row>
    <row r="78" spans="1:12" ht="11.25">
      <c r="A78" s="2" t="s">
        <v>67</v>
      </c>
      <c r="B78" s="2"/>
      <c r="C78" s="30">
        <f>(C40/G40)-1</f>
        <v>5.252358490566038</v>
      </c>
      <c r="D78" s="30">
        <f>(D40/H40)-1</f>
        <v>0.9204892966360856</v>
      </c>
      <c r="E78" s="30">
        <f>(E40/I40)-1</f>
        <v>0.9051724137931034</v>
      </c>
      <c r="F78" s="30">
        <f>(F40/J40)-1</f>
        <v>0.6442953020134228</v>
      </c>
      <c r="G78" s="31">
        <f>(G40/K40)-1</f>
        <v>-0.44791666666666663</v>
      </c>
      <c r="H78" s="30">
        <f>(H40/-406)-1</f>
        <v>-1.8054187192118225</v>
      </c>
      <c r="I78" s="30">
        <f>(I40/-443)-1</f>
        <v>-1.5237020316027088</v>
      </c>
      <c r="J78" s="32">
        <f>(J40/-257)-1</f>
        <v>-1.5797665369649807</v>
      </c>
      <c r="K78" s="30">
        <f>(K40/L40)-1</f>
        <v>-2.0955777460770326</v>
      </c>
      <c r="L78" s="30">
        <f>(L40/4369)-1</f>
        <v>-1.160448615243763</v>
      </c>
    </row>
  </sheetData>
  <sheetProtection password="CD66" sheet="1" objects="1" scenarios="1"/>
  <mergeCells count="3">
    <mergeCell ref="G8:J8"/>
    <mergeCell ref="K8:L8"/>
    <mergeCell ref="C8:F8"/>
  </mergeCells>
  <printOptions horizontalCentered="1" verticalCentered="1"/>
  <pageMargins left="0.75" right="0.75" top="1" bottom="1" header="0" footer="0"/>
  <pageSetup horizontalDpi="300" verticalDpi="300" orientation="portrait" r:id="rId3"/>
  <legacyDrawing r:id="rId2"/>
  <oleObjects>
    <oleObject progId="MSPhotoEd.3" shapeId="40974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2002-03-19T20:12:41Z</dcterms:created>
  <dcterms:modified xsi:type="dcterms:W3CDTF">2002-04-01T21:09:21Z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