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Santander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<sst xmlns="http://schemas.openxmlformats.org/spreadsheetml/2006/main" count="84" uniqueCount="68">
  <si>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18-24</t>
  </si>
  <si>
    <t>BANCO SANTANDER (PANAMA), S.A.</t>
  </si>
  <si>
    <t>ESTADISTICA FINANCIERA. AÑO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</si>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</sst>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0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0.0%"/>
    <numFmt numFmtId="190" formatCode="_(* #,##0.0000_);_(* \(#,##0.0000\);_(* &quot;-&quot;??_);_(@_)"/>
    <numFmt numFmtId="191" formatCode="0.00000"/>
    <numFmt numFmtId="192" formatCode="0.0000"/>
    <numFmt numFmtId="193" formatCode="0.000"/>
    <numFmt numFmtId="194" formatCode="0.0"/>
    <numFmt numFmtId="195" formatCode="#,##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87" fontId="1" fillId="0" borderId="0" xfId="15" applyNumberFormat="1" applyFont="1" applyAlignment="1">
      <alignment/>
    </xf>
    <xf numFmtId="187" fontId="1" fillId="0" borderId="6" xfId="15" applyNumberFormat="1" applyFont="1" applyBorder="1" applyAlignment="1">
      <alignment/>
    </xf>
    <xf numFmtId="187" fontId="1" fillId="0" borderId="0" xfId="15" applyNumberFormat="1" applyFont="1" applyBorder="1" applyAlignment="1">
      <alignment/>
    </xf>
    <xf numFmtId="187" fontId="1" fillId="0" borderId="7" xfId="15" applyNumberFormat="1" applyFont="1" applyBorder="1" applyAlignment="1">
      <alignment/>
    </xf>
    <xf numFmtId="187" fontId="2" fillId="0" borderId="0" xfId="15" applyNumberFormat="1" applyFont="1" applyAlignment="1">
      <alignment/>
    </xf>
    <xf numFmtId="187" fontId="2" fillId="0" borderId="6" xfId="15" applyNumberFormat="1" applyFont="1" applyBorder="1" applyAlignment="1">
      <alignment/>
    </xf>
    <xf numFmtId="187" fontId="2" fillId="0" borderId="0" xfId="15" applyNumberFormat="1" applyFont="1" applyBorder="1" applyAlignment="1">
      <alignment/>
    </xf>
    <xf numFmtId="187" fontId="2" fillId="0" borderId="7" xfId="15" applyNumberFormat="1" applyFont="1" applyBorder="1" applyAlignment="1">
      <alignment/>
    </xf>
    <xf numFmtId="187" fontId="2" fillId="0" borderId="1" xfId="15" applyNumberFormat="1" applyFont="1" applyBorder="1" applyAlignment="1">
      <alignment/>
    </xf>
    <xf numFmtId="187" fontId="2" fillId="0" borderId="4" xfId="15" applyNumberFormat="1" applyFont="1" applyBorder="1" applyAlignment="1">
      <alignment/>
    </xf>
    <xf numFmtId="187" fontId="2" fillId="0" borderId="5" xfId="15" applyNumberFormat="1" applyFont="1" applyBorder="1" applyAlignment="1">
      <alignment/>
    </xf>
    <xf numFmtId="187" fontId="2" fillId="0" borderId="0" xfId="0" applyNumberFormat="1" applyFont="1" applyAlignment="1">
      <alignment/>
    </xf>
    <xf numFmtId="187" fontId="2" fillId="0" borderId="1" xfId="0" applyNumberFormat="1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89" fontId="2" fillId="0" borderId="0" xfId="19" applyNumberFormat="1" applyFont="1" applyAlignment="1">
      <alignment/>
    </xf>
    <xf numFmtId="189" fontId="2" fillId="0" borderId="6" xfId="19" applyNumberFormat="1" applyFont="1" applyBorder="1" applyAlignment="1">
      <alignment/>
    </xf>
    <xf numFmtId="189" fontId="2" fillId="0" borderId="0" xfId="19" applyNumberFormat="1" applyFont="1" applyBorder="1" applyAlignment="1">
      <alignment/>
    </xf>
    <xf numFmtId="189" fontId="2" fillId="0" borderId="7" xfId="19" applyNumberFormat="1" applyFont="1" applyBorder="1" applyAlignment="1">
      <alignment/>
    </xf>
    <xf numFmtId="189" fontId="2" fillId="0" borderId="1" xfId="19" applyNumberFormat="1" applyFont="1" applyBorder="1" applyAlignment="1">
      <alignment/>
    </xf>
    <xf numFmtId="189" fontId="2" fillId="0" borderId="4" xfId="19" applyNumberFormat="1" applyFont="1" applyBorder="1" applyAlignment="1">
      <alignment/>
    </xf>
    <xf numFmtId="189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1" xfId="15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2" sqref="B32"/>
    </sheetView>
  </sheetViews>
  <sheetFormatPr defaultColWidth="11.421875" defaultRowHeight="12.75"/>
  <cols>
    <col min="1" max="1" width="3.28125" style="1" customWidth="1"/>
    <col min="2" max="2" width="40.00390625" style="1" customWidth="1"/>
    <col min="3" max="3" width="7.7109375" style="1" bestFit="1" customWidth="1"/>
    <col min="4" max="4" width="8.7109375" style="1" bestFit="1" customWidth="1"/>
    <col min="5" max="5" width="8.00390625" style="1" bestFit="1" customWidth="1"/>
    <col min="6" max="6" width="7.7109375" style="1" bestFit="1" customWidth="1"/>
    <col min="7" max="7" width="8.00390625" style="1" bestFit="1" customWidth="1"/>
    <col min="8" max="8" width="8.7109375" style="1" bestFit="1" customWidth="1"/>
    <col min="9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1.25">
      <c r="B2" s="45"/>
      <c r="C2" s="45"/>
      <c r="D2" s="45"/>
      <c r="E2" s="45"/>
      <c r="F2" s="45"/>
      <c r="G2" s="45" t="s">
        <v>0</v>
      </c>
      <c r="H2" s="45"/>
      <c r="I2" s="45"/>
      <c r="J2" s="45"/>
      <c r="K2" s="45"/>
      <c r="L2" s="45"/>
    </row>
    <row r="3" spans="2:12" ht="11.25">
      <c r="B3" s="45"/>
      <c r="C3" s="45"/>
      <c r="D3" s="45"/>
      <c r="E3" s="45"/>
      <c r="F3" s="45"/>
      <c r="G3" s="45" t="s">
        <v>1</v>
      </c>
      <c r="H3" s="45"/>
      <c r="I3" s="45"/>
      <c r="J3" s="45"/>
      <c r="K3" s="45"/>
      <c r="L3" s="45"/>
    </row>
    <row r="4" spans="2:12" ht="11.25">
      <c r="B4" s="45"/>
      <c r="C4" s="45"/>
      <c r="D4" s="45"/>
      <c r="E4" s="45"/>
      <c r="F4" s="45"/>
      <c r="G4" s="45" t="s">
        <v>2</v>
      </c>
      <c r="H4" s="45"/>
      <c r="I4" s="45"/>
      <c r="J4" s="45"/>
      <c r="K4" s="45"/>
      <c r="L4" s="45"/>
    </row>
    <row r="5" spans="2:12" ht="11.25">
      <c r="B5" s="44"/>
      <c r="C5" s="44"/>
      <c r="D5" s="44"/>
      <c r="E5" s="44"/>
      <c r="F5" s="44"/>
      <c r="G5" s="44" t="s">
        <v>3</v>
      </c>
      <c r="H5" s="44"/>
      <c r="I5" s="44"/>
      <c r="J5" s="44"/>
      <c r="K5" s="44"/>
      <c r="L5" s="44"/>
    </row>
    <row r="6" spans="1:12" ht="11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8">
        <v>2001</v>
      </c>
      <c r="D8" s="48"/>
      <c r="E8" s="48"/>
      <c r="F8" s="49"/>
      <c r="G8" s="47">
        <v>2000</v>
      </c>
      <c r="H8" s="48"/>
      <c r="I8" s="48"/>
      <c r="J8" s="49"/>
      <c r="K8" s="48" t="s">
        <v>4</v>
      </c>
      <c r="L8" s="48"/>
    </row>
    <row r="9" spans="1:12" ht="11.25">
      <c r="A9" s="4"/>
      <c r="B9" s="4"/>
      <c r="C9" s="5" t="s">
        <v>5</v>
      </c>
      <c r="D9" s="4" t="s">
        <v>6</v>
      </c>
      <c r="E9" s="4" t="s">
        <v>7</v>
      </c>
      <c r="F9" s="4" t="s">
        <v>8</v>
      </c>
      <c r="G9" s="6" t="s">
        <v>5</v>
      </c>
      <c r="H9" s="4" t="s">
        <v>6</v>
      </c>
      <c r="I9" s="4" t="s">
        <v>7</v>
      </c>
      <c r="J9" s="7" t="s">
        <v>8</v>
      </c>
      <c r="K9" s="8" t="s">
        <v>9</v>
      </c>
      <c r="L9" s="8" t="s">
        <v>10</v>
      </c>
    </row>
    <row r="10" spans="1:12" ht="11.25">
      <c r="A10" s="9" t="s">
        <v>11</v>
      </c>
      <c r="B10" s="9"/>
      <c r="C10" s="9"/>
      <c r="D10" s="9"/>
      <c r="E10" s="9"/>
      <c r="F10" s="10"/>
      <c r="G10" s="11"/>
      <c r="H10" s="12"/>
      <c r="I10" s="12"/>
      <c r="J10" s="13"/>
      <c r="K10" s="10"/>
      <c r="L10" s="10"/>
    </row>
    <row r="11" spans="1:12" ht="11.25">
      <c r="A11" s="1" t="s">
        <v>12</v>
      </c>
      <c r="C11" s="14">
        <v>133284</v>
      </c>
      <c r="D11" s="14">
        <v>290621</v>
      </c>
      <c r="E11" s="14">
        <v>296622</v>
      </c>
      <c r="F11" s="14">
        <v>356860</v>
      </c>
      <c r="G11" s="15">
        <v>446262</v>
      </c>
      <c r="H11" s="16">
        <v>392607</v>
      </c>
      <c r="I11" s="16">
        <v>416852</v>
      </c>
      <c r="J11" s="17">
        <v>413167</v>
      </c>
      <c r="K11" s="14">
        <v>216888</v>
      </c>
      <c r="L11" s="14">
        <v>210620</v>
      </c>
    </row>
    <row r="12" spans="1:12" ht="11.25">
      <c r="A12" s="1" t="s">
        <v>13</v>
      </c>
      <c r="C12" s="14">
        <v>53676</v>
      </c>
      <c r="D12" s="14">
        <v>214199</v>
      </c>
      <c r="E12" s="14">
        <v>163253</v>
      </c>
      <c r="F12" s="14">
        <v>185868</v>
      </c>
      <c r="G12" s="15">
        <v>306115</v>
      </c>
      <c r="H12" s="16">
        <v>257810</v>
      </c>
      <c r="I12" s="16">
        <v>267229</v>
      </c>
      <c r="J12" s="17">
        <v>293997</v>
      </c>
      <c r="K12" s="14">
        <v>90949</v>
      </c>
      <c r="L12" s="14">
        <v>83956</v>
      </c>
    </row>
    <row r="13" spans="1:12" ht="11.25">
      <c r="A13" s="1" t="s">
        <v>14</v>
      </c>
      <c r="C13" s="14">
        <f aca="true" t="shared" si="0" ref="C13:L13">C14+C15</f>
        <v>68634</v>
      </c>
      <c r="D13" s="14">
        <f t="shared" si="0"/>
        <v>65232</v>
      </c>
      <c r="E13" s="14">
        <f t="shared" si="0"/>
        <v>119109</v>
      </c>
      <c r="F13" s="14">
        <f t="shared" si="0"/>
        <v>157076</v>
      </c>
      <c r="G13" s="15">
        <f t="shared" si="0"/>
        <v>126215</v>
      </c>
      <c r="H13" s="16">
        <f t="shared" si="0"/>
        <v>120019</v>
      </c>
      <c r="I13" s="16">
        <f t="shared" si="0"/>
        <v>136582</v>
      </c>
      <c r="J13" s="17">
        <f t="shared" si="0"/>
        <v>107479</v>
      </c>
      <c r="K13" s="14">
        <f t="shared" si="0"/>
        <v>112903</v>
      </c>
      <c r="L13" s="14">
        <f t="shared" si="0"/>
        <v>116267</v>
      </c>
    </row>
    <row r="14" spans="2:12" ht="11.25">
      <c r="B14" s="1" t="s">
        <v>15</v>
      </c>
      <c r="C14" s="14">
        <v>0</v>
      </c>
      <c r="D14" s="14">
        <v>0</v>
      </c>
      <c r="E14" s="14">
        <v>129</v>
      </c>
      <c r="F14" s="14">
        <v>150</v>
      </c>
      <c r="G14" s="15">
        <v>781</v>
      </c>
      <c r="H14" s="16">
        <v>9</v>
      </c>
      <c r="I14" s="16">
        <v>10</v>
      </c>
      <c r="J14" s="17">
        <v>20</v>
      </c>
      <c r="K14" s="14">
        <v>27</v>
      </c>
      <c r="L14" s="14">
        <v>28</v>
      </c>
    </row>
    <row r="15" spans="2:12" ht="11.25">
      <c r="B15" s="1" t="s">
        <v>16</v>
      </c>
      <c r="C15" s="14">
        <v>68634</v>
      </c>
      <c r="D15" s="14">
        <v>65232</v>
      </c>
      <c r="E15" s="14">
        <v>118980</v>
      </c>
      <c r="F15" s="14">
        <v>156926</v>
      </c>
      <c r="G15" s="15">
        <v>125434</v>
      </c>
      <c r="H15" s="16">
        <v>120010</v>
      </c>
      <c r="I15" s="16">
        <v>136572</v>
      </c>
      <c r="J15" s="17">
        <v>107459</v>
      </c>
      <c r="K15" s="14">
        <v>112876</v>
      </c>
      <c r="L15" s="14">
        <v>116239</v>
      </c>
    </row>
    <row r="16" spans="1:12" ht="11.25">
      <c r="A16" s="1" t="s">
        <v>17</v>
      </c>
      <c r="C16" s="14">
        <v>6459</v>
      </c>
      <c r="D16" s="14">
        <v>6459</v>
      </c>
      <c r="E16" s="14">
        <v>6459</v>
      </c>
      <c r="F16" s="14">
        <v>6459</v>
      </c>
      <c r="G16" s="15">
        <v>4986</v>
      </c>
      <c r="H16" s="16">
        <v>5146</v>
      </c>
      <c r="I16" s="16">
        <v>5146</v>
      </c>
      <c r="J16" s="17">
        <v>5146</v>
      </c>
      <c r="K16" s="14">
        <v>7146</v>
      </c>
      <c r="L16" s="14">
        <v>4471</v>
      </c>
    </row>
    <row r="17" spans="1:12" ht="11.25">
      <c r="A17" s="1" t="s">
        <v>18</v>
      </c>
      <c r="C17" s="14">
        <f aca="true" t="shared" si="1" ref="C17:L17">C18+C22</f>
        <v>80783</v>
      </c>
      <c r="D17" s="14">
        <f t="shared" si="1"/>
        <v>238336</v>
      </c>
      <c r="E17" s="14">
        <f t="shared" si="1"/>
        <v>238503</v>
      </c>
      <c r="F17" s="14">
        <f t="shared" si="1"/>
        <v>306351</v>
      </c>
      <c r="G17" s="15">
        <f t="shared" si="1"/>
        <v>398092</v>
      </c>
      <c r="H17" s="16">
        <f t="shared" si="1"/>
        <v>346030</v>
      </c>
      <c r="I17" s="16">
        <f t="shared" si="1"/>
        <v>369238</v>
      </c>
      <c r="J17" s="17">
        <f t="shared" si="1"/>
        <v>369304</v>
      </c>
      <c r="K17" s="14">
        <f t="shared" si="1"/>
        <v>171593</v>
      </c>
      <c r="L17" s="14">
        <f t="shared" si="1"/>
        <v>171848</v>
      </c>
    </row>
    <row r="18" spans="2:12" ht="11.25">
      <c r="B18" s="1" t="s">
        <v>15</v>
      </c>
      <c r="C18" s="14">
        <f aca="true" t="shared" si="2" ref="C18:L18">SUM(C19:C21)</f>
        <v>0</v>
      </c>
      <c r="D18" s="14">
        <f t="shared" si="2"/>
        <v>21</v>
      </c>
      <c r="E18" s="14">
        <f t="shared" si="2"/>
        <v>119</v>
      </c>
      <c r="F18" s="14">
        <f t="shared" si="2"/>
        <v>125</v>
      </c>
      <c r="G18" s="15">
        <f t="shared" si="2"/>
        <v>572</v>
      </c>
      <c r="H18" s="16">
        <f t="shared" si="2"/>
        <v>0</v>
      </c>
      <c r="I18" s="16">
        <f t="shared" si="2"/>
        <v>74</v>
      </c>
      <c r="J18" s="17">
        <f t="shared" si="2"/>
        <v>138</v>
      </c>
      <c r="K18" s="14">
        <f t="shared" si="2"/>
        <v>94</v>
      </c>
      <c r="L18" s="14">
        <f t="shared" si="2"/>
        <v>492</v>
      </c>
    </row>
    <row r="19" spans="2:12" ht="11.25">
      <c r="B19" s="1" t="s">
        <v>19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6">
        <v>0</v>
      </c>
      <c r="I19" s="16">
        <v>0</v>
      </c>
      <c r="J19" s="17">
        <v>0</v>
      </c>
      <c r="K19" s="14">
        <v>0</v>
      </c>
      <c r="L19" s="14">
        <v>0</v>
      </c>
    </row>
    <row r="20" spans="2:12" ht="11.25">
      <c r="B20" s="1" t="s">
        <v>20</v>
      </c>
      <c r="C20" s="14">
        <v>0</v>
      </c>
      <c r="D20" s="14">
        <v>21</v>
      </c>
      <c r="E20" s="14">
        <v>119</v>
      </c>
      <c r="F20" s="14">
        <v>125</v>
      </c>
      <c r="G20" s="15">
        <v>572</v>
      </c>
      <c r="H20" s="16">
        <v>0</v>
      </c>
      <c r="I20" s="16">
        <v>74</v>
      </c>
      <c r="J20" s="17">
        <v>138</v>
      </c>
      <c r="K20" s="14">
        <v>94</v>
      </c>
      <c r="L20" s="14">
        <v>492</v>
      </c>
    </row>
    <row r="21" spans="2:12" ht="11.25">
      <c r="B21" s="1" t="s">
        <v>21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  <c r="H21" s="16">
        <v>0</v>
      </c>
      <c r="I21" s="16">
        <v>0</v>
      </c>
      <c r="J21" s="17">
        <v>0</v>
      </c>
      <c r="K21" s="14">
        <v>0</v>
      </c>
      <c r="L21" s="14">
        <v>0</v>
      </c>
    </row>
    <row r="22" spans="2:12" ht="11.25">
      <c r="B22" s="1" t="s">
        <v>16</v>
      </c>
      <c r="C22" s="14">
        <f aca="true" t="shared" si="3" ref="C22:L22">SUM(C23:C24)</f>
        <v>80783</v>
      </c>
      <c r="D22" s="14">
        <f t="shared" si="3"/>
        <v>238315</v>
      </c>
      <c r="E22" s="14">
        <f t="shared" si="3"/>
        <v>238384</v>
      </c>
      <c r="F22" s="14">
        <f t="shared" si="3"/>
        <v>306226</v>
      </c>
      <c r="G22" s="15">
        <f t="shared" si="3"/>
        <v>397520</v>
      </c>
      <c r="H22" s="16">
        <f t="shared" si="3"/>
        <v>346030</v>
      </c>
      <c r="I22" s="16">
        <f t="shared" si="3"/>
        <v>369164</v>
      </c>
      <c r="J22" s="17">
        <f t="shared" si="3"/>
        <v>369166</v>
      </c>
      <c r="K22" s="14">
        <f t="shared" si="3"/>
        <v>171499</v>
      </c>
      <c r="L22" s="14">
        <f t="shared" si="3"/>
        <v>171356</v>
      </c>
    </row>
    <row r="23" spans="2:12" ht="11.25">
      <c r="B23" s="1" t="s">
        <v>20</v>
      </c>
      <c r="C23" s="14">
        <f>34790+43863</f>
        <v>78653</v>
      </c>
      <c r="D23" s="14">
        <v>236547</v>
      </c>
      <c r="E23" s="14">
        <v>237095</v>
      </c>
      <c r="F23" s="14">
        <v>303938</v>
      </c>
      <c r="G23" s="15">
        <v>396264</v>
      </c>
      <c r="H23" s="16">
        <v>344865</v>
      </c>
      <c r="I23" s="16">
        <v>368138</v>
      </c>
      <c r="J23" s="17">
        <v>367994</v>
      </c>
      <c r="K23" s="14">
        <v>170034</v>
      </c>
      <c r="L23" s="14">
        <v>170832</v>
      </c>
    </row>
    <row r="24" spans="2:12" ht="11.25">
      <c r="B24" s="1" t="s">
        <v>21</v>
      </c>
      <c r="C24" s="14">
        <f>1102+1028</f>
        <v>2130</v>
      </c>
      <c r="D24" s="14">
        <v>1768</v>
      </c>
      <c r="E24" s="14">
        <v>1289</v>
      </c>
      <c r="F24" s="14">
        <v>2288</v>
      </c>
      <c r="G24" s="15">
        <v>1256</v>
      </c>
      <c r="H24" s="16">
        <v>1165</v>
      </c>
      <c r="I24" s="16">
        <v>1026</v>
      </c>
      <c r="J24" s="17">
        <v>1172</v>
      </c>
      <c r="K24" s="14">
        <v>1465</v>
      </c>
      <c r="L24" s="14">
        <v>524</v>
      </c>
    </row>
    <row r="25" spans="1:12" ht="11.25">
      <c r="A25" s="2" t="s">
        <v>22</v>
      </c>
      <c r="B25" s="2"/>
      <c r="C25" s="18">
        <v>42002</v>
      </c>
      <c r="D25" s="18">
        <v>41652</v>
      </c>
      <c r="E25" s="18">
        <v>40460</v>
      </c>
      <c r="F25" s="18">
        <v>39499</v>
      </c>
      <c r="G25" s="19">
        <v>40924</v>
      </c>
      <c r="H25" s="18">
        <v>39594</v>
      </c>
      <c r="I25" s="18">
        <v>37753</v>
      </c>
      <c r="J25" s="20">
        <v>35935</v>
      </c>
      <c r="K25" s="18">
        <v>34491</v>
      </c>
      <c r="L25" s="18">
        <v>32791</v>
      </c>
    </row>
    <row r="26" spans="1:12" ht="11.25">
      <c r="A26" s="9" t="s">
        <v>23</v>
      </c>
      <c r="D26" s="14"/>
      <c r="F26" s="14"/>
      <c r="G26" s="15"/>
      <c r="H26" s="16"/>
      <c r="I26" s="16"/>
      <c r="J26" s="17"/>
      <c r="K26" s="14"/>
      <c r="L26" s="14"/>
    </row>
    <row r="27" spans="1:12" ht="11.25">
      <c r="A27" s="1" t="s">
        <v>12</v>
      </c>
      <c r="C27" s="14">
        <f>(C11+G11)/2</f>
        <v>289773</v>
      </c>
      <c r="D27" s="14">
        <f>(D11+H11)/2</f>
        <v>341614</v>
      </c>
      <c r="E27" s="14">
        <f>(E11+I11)/2</f>
        <v>356737</v>
      </c>
      <c r="F27" s="14">
        <f>(F11+J11)/2</f>
        <v>385013.5</v>
      </c>
      <c r="G27" s="15">
        <f>(G11+K11)/2</f>
        <v>331575</v>
      </c>
      <c r="H27" s="16">
        <f>(H11+264343)/2</f>
        <v>328475</v>
      </c>
      <c r="I27" s="16">
        <f>(I11+213220)/2</f>
        <v>315036</v>
      </c>
      <c r="J27" s="17">
        <f>(J11+226905)/2</f>
        <v>320036</v>
      </c>
      <c r="K27" s="14">
        <f>(K11+L11)/2</f>
        <v>213754</v>
      </c>
      <c r="L27" s="14">
        <f>(L11+210878)/2</f>
        <v>210749</v>
      </c>
    </row>
    <row r="28" spans="1:12" ht="11.25">
      <c r="A28" s="1" t="s">
        <v>24</v>
      </c>
      <c r="C28" s="14">
        <f aca="true" t="shared" si="4" ref="C28:L28">C29+C30</f>
        <v>103147</v>
      </c>
      <c r="D28" s="14">
        <f t="shared" si="4"/>
        <v>98428</v>
      </c>
      <c r="E28" s="14">
        <f t="shared" si="4"/>
        <v>133648</v>
      </c>
      <c r="F28" s="14">
        <f t="shared" si="4"/>
        <v>138080</v>
      </c>
      <c r="G28" s="15">
        <f t="shared" si="4"/>
        <v>125625</v>
      </c>
      <c r="H28" s="16">
        <f t="shared" si="4"/>
        <v>133087</v>
      </c>
      <c r="I28" s="16">
        <f t="shared" si="4"/>
        <v>136668</v>
      </c>
      <c r="J28" s="17">
        <f t="shared" si="4"/>
        <v>126488.5</v>
      </c>
      <c r="K28" s="14">
        <f t="shared" si="4"/>
        <v>120393.5</v>
      </c>
      <c r="L28" s="14">
        <f t="shared" si="4"/>
        <v>135171.5</v>
      </c>
    </row>
    <row r="29" spans="2:12" ht="11.25">
      <c r="B29" s="1" t="s">
        <v>14</v>
      </c>
      <c r="C29" s="14">
        <f>(C13+G13)/2</f>
        <v>97424.5</v>
      </c>
      <c r="D29" s="14">
        <f>(D13+H13)/2</f>
        <v>92625.5</v>
      </c>
      <c r="E29" s="14">
        <f>(E13+I13)/2</f>
        <v>127845.5</v>
      </c>
      <c r="F29" s="14">
        <f>(F13+J13)/2</f>
        <v>132277.5</v>
      </c>
      <c r="G29" s="15">
        <f>(G13+K13)/2</f>
        <v>119559</v>
      </c>
      <c r="H29" s="16">
        <f>(H13+133863)/2</f>
        <v>126941</v>
      </c>
      <c r="I29" s="16">
        <f>(I13+124462)/2</f>
        <v>130522</v>
      </c>
      <c r="J29" s="17">
        <f>(J13+126278)/2</f>
        <v>116878.5</v>
      </c>
      <c r="K29" s="14">
        <f>(K13+L13)/2</f>
        <v>114585</v>
      </c>
      <c r="L29" s="14">
        <f>(L13+135292)/2</f>
        <v>125779.5</v>
      </c>
    </row>
    <row r="30" spans="2:12" ht="11.25">
      <c r="B30" s="1" t="s">
        <v>17</v>
      </c>
      <c r="C30" s="14">
        <f>(C16+G16)/2</f>
        <v>5722.5</v>
      </c>
      <c r="D30" s="14">
        <f>(D16+H16)/2</f>
        <v>5802.5</v>
      </c>
      <c r="E30" s="14">
        <f>(E16+I16)/2</f>
        <v>5802.5</v>
      </c>
      <c r="F30" s="14">
        <f>(F16+J16)/2</f>
        <v>5802.5</v>
      </c>
      <c r="G30" s="15">
        <f>(G16+K16)/2</f>
        <v>6066</v>
      </c>
      <c r="H30" s="16">
        <f>(H16+7146)/2</f>
        <v>6146</v>
      </c>
      <c r="I30" s="16">
        <f>(I16+7146)/2</f>
        <v>6146</v>
      </c>
      <c r="J30" s="17">
        <f>(J16+14074)/2</f>
        <v>9610</v>
      </c>
      <c r="K30" s="14">
        <f>(K16+L16)/2</f>
        <v>5808.5</v>
      </c>
      <c r="L30" s="14">
        <f>(L16+14313)/2</f>
        <v>9392</v>
      </c>
    </row>
    <row r="31" spans="1:12" ht="11.25">
      <c r="A31" s="2" t="s">
        <v>22</v>
      </c>
      <c r="B31" s="2"/>
      <c r="C31" s="18">
        <f>(C25+G25)/2</f>
        <v>41463</v>
      </c>
      <c r="D31" s="18">
        <f>(D25+H25)/2</f>
        <v>40623</v>
      </c>
      <c r="E31" s="18">
        <f>(E25+I25)/2</f>
        <v>39106.5</v>
      </c>
      <c r="F31" s="18">
        <f>(F25+J25)/2</f>
        <v>37717</v>
      </c>
      <c r="G31" s="19">
        <f>(G25+K25)/2</f>
        <v>37707.5</v>
      </c>
      <c r="H31" s="18">
        <f>(H25+34740)/2</f>
        <v>37167</v>
      </c>
      <c r="I31" s="18">
        <f>(I25+34818)/2</f>
        <v>36285.5</v>
      </c>
      <c r="J31" s="20">
        <f>(J25+33534)/2</f>
        <v>34734.5</v>
      </c>
      <c r="K31" s="18">
        <f>(K25+L25)/2</f>
        <v>33641</v>
      </c>
      <c r="L31" s="18">
        <f>(L25+29184)/2</f>
        <v>30987.5</v>
      </c>
    </row>
    <row r="32" spans="1:12" ht="11.25">
      <c r="A32" s="9" t="s">
        <v>25</v>
      </c>
      <c r="D32" s="14"/>
      <c r="F32" s="14"/>
      <c r="G32" s="15"/>
      <c r="H32" s="16"/>
      <c r="I32" s="16"/>
      <c r="J32" s="17"/>
      <c r="K32" s="14"/>
      <c r="L32" s="14"/>
    </row>
    <row r="33" spans="1:12" ht="11.25">
      <c r="A33" s="1" t="s">
        <v>26</v>
      </c>
      <c r="C33" s="21">
        <v>16580</v>
      </c>
      <c r="D33" s="14">
        <f>E33+3488</f>
        <v>13994</v>
      </c>
      <c r="E33" s="14">
        <f>F33+4472</f>
        <v>10506</v>
      </c>
      <c r="F33" s="14">
        <v>6034</v>
      </c>
      <c r="G33" s="15">
        <f>6248+H33</f>
        <v>24855</v>
      </c>
      <c r="H33" s="16">
        <f>7391+I33</f>
        <v>18607</v>
      </c>
      <c r="I33" s="16">
        <f>6765+J33</f>
        <v>11216</v>
      </c>
      <c r="J33" s="17">
        <v>4451</v>
      </c>
      <c r="K33" s="14">
        <v>16680</v>
      </c>
      <c r="L33" s="14">
        <v>17558</v>
      </c>
    </row>
    <row r="34" spans="1:12" ht="11.25">
      <c r="A34" s="1" t="s">
        <v>27</v>
      </c>
      <c r="C34" s="21">
        <v>11388</v>
      </c>
      <c r="D34" s="14">
        <f>E34+2300</f>
        <v>9792</v>
      </c>
      <c r="E34" s="14">
        <f>F34+3117</f>
        <v>7492</v>
      </c>
      <c r="F34" s="14">
        <v>4375</v>
      </c>
      <c r="G34" s="15">
        <f>4409+H34</f>
        <v>17331</v>
      </c>
      <c r="H34" s="16">
        <f>5446+I34</f>
        <v>12922</v>
      </c>
      <c r="I34" s="16">
        <f>4757+J34</f>
        <v>7476</v>
      </c>
      <c r="J34" s="17">
        <v>2719</v>
      </c>
      <c r="K34" s="14">
        <v>9341</v>
      </c>
      <c r="L34" s="14">
        <v>10497</v>
      </c>
    </row>
    <row r="35" spans="1:12" ht="11.25">
      <c r="A35" s="1" t="s">
        <v>28</v>
      </c>
      <c r="C35" s="14">
        <f aca="true" t="shared" si="5" ref="C35:L35">C33-C34</f>
        <v>5192</v>
      </c>
      <c r="D35" s="14">
        <f t="shared" si="5"/>
        <v>4202</v>
      </c>
      <c r="E35" s="14">
        <f t="shared" si="5"/>
        <v>3014</v>
      </c>
      <c r="F35" s="14">
        <f t="shared" si="5"/>
        <v>1659</v>
      </c>
      <c r="G35" s="15">
        <f t="shared" si="5"/>
        <v>7524</v>
      </c>
      <c r="H35" s="16">
        <f t="shared" si="5"/>
        <v>5685</v>
      </c>
      <c r="I35" s="16">
        <f t="shared" si="5"/>
        <v>3740</v>
      </c>
      <c r="J35" s="17">
        <f t="shared" si="5"/>
        <v>1732</v>
      </c>
      <c r="K35" s="14">
        <f t="shared" si="5"/>
        <v>7339</v>
      </c>
      <c r="L35" s="14">
        <f t="shared" si="5"/>
        <v>7061</v>
      </c>
    </row>
    <row r="36" spans="1:12" ht="11.25">
      <c r="A36" s="1" t="s">
        <v>29</v>
      </c>
      <c r="C36" s="21">
        <v>2423</v>
      </c>
      <c r="D36" s="14">
        <f>E36+901</f>
        <v>2110</v>
      </c>
      <c r="E36" s="14">
        <f>F36+583</f>
        <v>1209</v>
      </c>
      <c r="F36" s="14">
        <v>626</v>
      </c>
      <c r="G36" s="15">
        <f>135+H36</f>
        <v>3072</v>
      </c>
      <c r="H36" s="16">
        <f>1520+I36</f>
        <v>2937</v>
      </c>
      <c r="I36" s="16">
        <f>1249+J36</f>
        <v>1417</v>
      </c>
      <c r="J36" s="17">
        <v>168</v>
      </c>
      <c r="K36" s="14">
        <v>6170</v>
      </c>
      <c r="L36" s="14">
        <v>3080</v>
      </c>
    </row>
    <row r="37" spans="1:12" ht="11.25">
      <c r="A37" s="1" t="s">
        <v>30</v>
      </c>
      <c r="C37" s="14">
        <f aca="true" t="shared" si="6" ref="C37:L37">C35+C36</f>
        <v>7615</v>
      </c>
      <c r="D37" s="14">
        <f t="shared" si="6"/>
        <v>6312</v>
      </c>
      <c r="E37" s="14">
        <f t="shared" si="6"/>
        <v>4223</v>
      </c>
      <c r="F37" s="14">
        <f t="shared" si="6"/>
        <v>2285</v>
      </c>
      <c r="G37" s="15">
        <f t="shared" si="6"/>
        <v>10596</v>
      </c>
      <c r="H37" s="16">
        <f t="shared" si="6"/>
        <v>8622</v>
      </c>
      <c r="I37" s="16">
        <f t="shared" si="6"/>
        <v>5157</v>
      </c>
      <c r="J37" s="17">
        <f t="shared" si="6"/>
        <v>1900</v>
      </c>
      <c r="K37" s="14">
        <f t="shared" si="6"/>
        <v>13509</v>
      </c>
      <c r="L37" s="14">
        <f t="shared" si="6"/>
        <v>10141</v>
      </c>
    </row>
    <row r="38" spans="1:12" ht="11.25">
      <c r="A38" s="1" t="s">
        <v>31</v>
      </c>
      <c r="C38" s="21">
        <v>3125</v>
      </c>
      <c r="D38" s="14">
        <f>E38+850</f>
        <v>2353</v>
      </c>
      <c r="E38" s="14">
        <f>F38+975</f>
        <v>1503</v>
      </c>
      <c r="F38" s="14">
        <v>528</v>
      </c>
      <c r="G38" s="15">
        <f>340+H38</f>
        <v>1392</v>
      </c>
      <c r="H38" s="16">
        <f>264+I38</f>
        <v>1052</v>
      </c>
      <c r="I38" s="16">
        <f>358+J38</f>
        <v>788</v>
      </c>
      <c r="J38" s="17">
        <v>430</v>
      </c>
      <c r="K38" s="14">
        <v>3047</v>
      </c>
      <c r="L38" s="14">
        <v>3219</v>
      </c>
    </row>
    <row r="39" spans="1:12" ht="11.25">
      <c r="A39" s="1" t="s">
        <v>32</v>
      </c>
      <c r="C39" s="14">
        <f aca="true" t="shared" si="7" ref="C39:L39">C37-C38</f>
        <v>4490</v>
      </c>
      <c r="D39" s="14">
        <f t="shared" si="7"/>
        <v>3959</v>
      </c>
      <c r="E39" s="14">
        <f t="shared" si="7"/>
        <v>2720</v>
      </c>
      <c r="F39" s="14">
        <f t="shared" si="7"/>
        <v>1757</v>
      </c>
      <c r="G39" s="15">
        <f t="shared" si="7"/>
        <v>9204</v>
      </c>
      <c r="H39" s="16">
        <f t="shared" si="7"/>
        <v>7570</v>
      </c>
      <c r="I39" s="16">
        <f t="shared" si="7"/>
        <v>4369</v>
      </c>
      <c r="J39" s="17">
        <f t="shared" si="7"/>
        <v>1470</v>
      </c>
      <c r="K39" s="14">
        <f t="shared" si="7"/>
        <v>10462</v>
      </c>
      <c r="L39" s="14">
        <f t="shared" si="7"/>
        <v>6922</v>
      </c>
    </row>
    <row r="40" spans="1:12" ht="11.25">
      <c r="A40" s="2" t="s">
        <v>33</v>
      </c>
      <c r="B40" s="2"/>
      <c r="C40" s="22">
        <v>1078</v>
      </c>
      <c r="D40" s="18">
        <f>E40+1192</f>
        <v>728</v>
      </c>
      <c r="E40" s="46">
        <f>F40+961</f>
        <v>-464</v>
      </c>
      <c r="F40" s="46">
        <v>-1425</v>
      </c>
      <c r="G40" s="19">
        <f>1329+H40</f>
        <v>6427</v>
      </c>
      <c r="H40" s="18">
        <f>1839+I40</f>
        <v>5098</v>
      </c>
      <c r="I40" s="18">
        <f>1815+J40</f>
        <v>3259</v>
      </c>
      <c r="J40" s="20">
        <v>1444</v>
      </c>
      <c r="K40" s="18">
        <v>1698</v>
      </c>
      <c r="L40" s="18">
        <v>3617</v>
      </c>
    </row>
    <row r="41" spans="1:12" ht="11.25">
      <c r="A41" s="9" t="s">
        <v>34</v>
      </c>
      <c r="D41" s="14"/>
      <c r="E41" s="14"/>
      <c r="G41" s="15"/>
      <c r="H41" s="16"/>
      <c r="I41" s="16"/>
      <c r="J41" s="17"/>
      <c r="K41" s="14"/>
      <c r="L41" s="14"/>
    </row>
    <row r="42" spans="1:12" ht="11.25">
      <c r="A42" s="1" t="s">
        <v>35</v>
      </c>
      <c r="C42" s="14">
        <v>778</v>
      </c>
      <c r="D42" s="14">
        <v>558</v>
      </c>
      <c r="E42" s="14">
        <v>665</v>
      </c>
      <c r="F42" s="14">
        <v>0</v>
      </c>
      <c r="G42" s="15">
        <v>0</v>
      </c>
      <c r="H42" s="16">
        <v>1259</v>
      </c>
      <c r="I42" s="16">
        <v>1998</v>
      </c>
      <c r="J42" s="17">
        <v>825</v>
      </c>
      <c r="K42" s="14">
        <v>809</v>
      </c>
      <c r="L42" s="14">
        <v>4350</v>
      </c>
    </row>
    <row r="43" spans="1:12" ht="11.25">
      <c r="A43" s="1" t="s">
        <v>36</v>
      </c>
      <c r="C43" s="14">
        <v>2327</v>
      </c>
      <c r="D43" s="14">
        <v>2327</v>
      </c>
      <c r="E43" s="14">
        <v>3133</v>
      </c>
      <c r="F43" s="14">
        <v>3558</v>
      </c>
      <c r="G43" s="15">
        <v>2010</v>
      </c>
      <c r="H43" s="16">
        <v>1948</v>
      </c>
      <c r="I43" s="16">
        <v>3052</v>
      </c>
      <c r="J43" s="17">
        <v>3895</v>
      </c>
      <c r="K43" s="14">
        <v>3907</v>
      </c>
      <c r="L43" s="14">
        <v>1125</v>
      </c>
    </row>
    <row r="44" spans="1:12" ht="11.25">
      <c r="A44" s="1" t="s">
        <v>37</v>
      </c>
      <c r="C44" s="23">
        <f aca="true" t="shared" si="8" ref="C44:L44">C42/C13</f>
        <v>0.011335489698983011</v>
      </c>
      <c r="D44" s="23">
        <f t="shared" si="8"/>
        <v>0.008554083885209713</v>
      </c>
      <c r="E44" s="23">
        <f t="shared" si="8"/>
        <v>0.005583121342635737</v>
      </c>
      <c r="F44" s="23">
        <f t="shared" si="8"/>
        <v>0</v>
      </c>
      <c r="G44" s="24">
        <f t="shared" si="8"/>
        <v>0</v>
      </c>
      <c r="H44" s="25">
        <f t="shared" si="8"/>
        <v>0.010490005749089728</v>
      </c>
      <c r="I44" s="25">
        <f t="shared" si="8"/>
        <v>0.014628574775592684</v>
      </c>
      <c r="J44" s="26">
        <f t="shared" si="8"/>
        <v>0.00767591808632384</v>
      </c>
      <c r="K44" s="23">
        <f t="shared" si="8"/>
        <v>0.007165442902314376</v>
      </c>
      <c r="L44" s="23">
        <f t="shared" si="8"/>
        <v>0.037413883561113644</v>
      </c>
    </row>
    <row r="45" spans="1:12" ht="11.25">
      <c r="A45" s="1" t="s">
        <v>38</v>
      </c>
      <c r="C45" s="23">
        <f>C43/C42</f>
        <v>2.9910025706940875</v>
      </c>
      <c r="D45" s="23">
        <f>D43/D42</f>
        <v>4.170250896057348</v>
      </c>
      <c r="E45" s="23">
        <f>E43/E42</f>
        <v>4.711278195488722</v>
      </c>
      <c r="F45" s="23">
        <v>0</v>
      </c>
      <c r="G45" s="24">
        <v>0</v>
      </c>
      <c r="H45" s="25">
        <f>H43/H42</f>
        <v>1.5472597299444004</v>
      </c>
      <c r="I45" s="25">
        <f>I43/I42</f>
        <v>1.5275275275275275</v>
      </c>
      <c r="J45" s="26">
        <f>J43/J42</f>
        <v>4.721212121212122</v>
      </c>
      <c r="K45" s="23">
        <f>K43/K42</f>
        <v>4.829419035846724</v>
      </c>
      <c r="L45" s="23">
        <f>L43/L42</f>
        <v>0.25862068965517243</v>
      </c>
    </row>
    <row r="46" spans="1:12" ht="11.25">
      <c r="A46" s="2" t="s">
        <v>39</v>
      </c>
      <c r="B46" s="2"/>
      <c r="C46" s="27">
        <f aca="true" t="shared" si="9" ref="C46:L46">C43/C13</f>
        <v>0.03390447882973453</v>
      </c>
      <c r="D46" s="27">
        <f t="shared" si="9"/>
        <v>0.03567267598724552</v>
      </c>
      <c r="E46" s="27">
        <f t="shared" si="9"/>
        <v>0.026303637844327463</v>
      </c>
      <c r="F46" s="27">
        <f t="shared" si="9"/>
        <v>0.022651455346456493</v>
      </c>
      <c r="G46" s="28">
        <f t="shared" si="9"/>
        <v>0.015925206988075903</v>
      </c>
      <c r="H46" s="27">
        <f t="shared" si="9"/>
        <v>0.016230763462451777</v>
      </c>
      <c r="I46" s="27">
        <f t="shared" si="9"/>
        <v>0.02234555065821265</v>
      </c>
      <c r="J46" s="29">
        <f t="shared" si="9"/>
        <v>0.03623963751058346</v>
      </c>
      <c r="K46" s="27">
        <f t="shared" si="9"/>
        <v>0.03460492635270985</v>
      </c>
      <c r="L46" s="27">
        <f t="shared" si="9"/>
        <v>0.009676004369253529</v>
      </c>
    </row>
    <row r="47" spans="1:10" ht="11.25">
      <c r="A47" s="9" t="s">
        <v>40</v>
      </c>
      <c r="G47" s="30"/>
      <c r="H47" s="31"/>
      <c r="I47" s="31"/>
      <c r="J47" s="32"/>
    </row>
    <row r="48" spans="1:12" ht="11.25">
      <c r="A48" s="1" t="s">
        <v>41</v>
      </c>
      <c r="C48" s="23">
        <f aca="true" t="shared" si="10" ref="C48:L48">C25/(C13+C16)</f>
        <v>0.5593330936305647</v>
      </c>
      <c r="D48" s="23">
        <f t="shared" si="10"/>
        <v>0.5809934301376742</v>
      </c>
      <c r="E48" s="23">
        <f t="shared" si="10"/>
        <v>0.3222158511722732</v>
      </c>
      <c r="F48" s="23">
        <f t="shared" si="10"/>
        <v>0.24153239367719448</v>
      </c>
      <c r="G48" s="24">
        <f t="shared" si="10"/>
        <v>0.31191835428083625</v>
      </c>
      <c r="H48" s="25">
        <f t="shared" si="10"/>
        <v>0.3163344385411257</v>
      </c>
      <c r="I48" s="25">
        <f t="shared" si="10"/>
        <v>0.2663764393768345</v>
      </c>
      <c r="J48" s="26">
        <f t="shared" si="10"/>
        <v>0.3190677025527192</v>
      </c>
      <c r="K48" s="23">
        <f t="shared" si="10"/>
        <v>0.28730768269623236</v>
      </c>
      <c r="L48" s="23">
        <f t="shared" si="10"/>
        <v>0.27158806672298696</v>
      </c>
    </row>
    <row r="49" spans="1:12" ht="11.25">
      <c r="A49" s="2" t="s">
        <v>42</v>
      </c>
      <c r="B49" s="2"/>
      <c r="C49" s="27">
        <f>C25/C13</f>
        <v>0.6119707433633476</v>
      </c>
      <c r="D49" s="27">
        <f aca="true" t="shared" si="11" ref="D49:L49">D25/D11</f>
        <v>0.14332068226315373</v>
      </c>
      <c r="E49" s="27">
        <f t="shared" si="11"/>
        <v>0.13640255948648447</v>
      </c>
      <c r="F49" s="27">
        <f t="shared" si="11"/>
        <v>0.11068486241102954</v>
      </c>
      <c r="G49" s="28">
        <f t="shared" si="11"/>
        <v>0.09170397658774442</v>
      </c>
      <c r="H49" s="27">
        <f t="shared" si="11"/>
        <v>0.10084894054359703</v>
      </c>
      <c r="I49" s="27">
        <f t="shared" si="11"/>
        <v>0.09056691583583622</v>
      </c>
      <c r="J49" s="29">
        <f t="shared" si="11"/>
        <v>0.08697451635779237</v>
      </c>
      <c r="K49" s="27">
        <f t="shared" si="11"/>
        <v>0.15902677879827376</v>
      </c>
      <c r="L49" s="27">
        <f t="shared" si="11"/>
        <v>0.15568796885386002</v>
      </c>
    </row>
    <row r="50" spans="1:12" ht="11.25">
      <c r="A50" s="9" t="s">
        <v>43</v>
      </c>
      <c r="F50" s="33"/>
      <c r="G50" s="34"/>
      <c r="H50" s="35"/>
      <c r="I50" s="35"/>
      <c r="J50" s="36"/>
      <c r="K50" s="33"/>
      <c r="L50" s="33"/>
    </row>
    <row r="51" spans="1:12" ht="11.25">
      <c r="A51" s="1" t="s">
        <v>44</v>
      </c>
      <c r="C51" s="33">
        <f aca="true" t="shared" si="12" ref="C51:L51">C12/C17</f>
        <v>0.6644467276530953</v>
      </c>
      <c r="D51" s="33">
        <f t="shared" si="12"/>
        <v>0.8987270072502686</v>
      </c>
      <c r="E51" s="33">
        <f t="shared" si="12"/>
        <v>0.6844903418405639</v>
      </c>
      <c r="F51" s="33">
        <f t="shared" si="12"/>
        <v>0.606715825964335</v>
      </c>
      <c r="G51" s="34">
        <f t="shared" si="12"/>
        <v>0.7689554173407153</v>
      </c>
      <c r="H51" s="35">
        <f t="shared" si="12"/>
        <v>0.7450510071381095</v>
      </c>
      <c r="I51" s="35">
        <f t="shared" si="12"/>
        <v>0.723731035267226</v>
      </c>
      <c r="J51" s="36">
        <f t="shared" si="12"/>
        <v>0.7960839850096397</v>
      </c>
      <c r="K51" s="33">
        <f t="shared" si="12"/>
        <v>0.5300274486721487</v>
      </c>
      <c r="L51" s="33">
        <f t="shared" si="12"/>
        <v>0.4885480191797402</v>
      </c>
    </row>
    <row r="52" spans="1:12" ht="11.25">
      <c r="A52" s="1" t="s">
        <v>45</v>
      </c>
      <c r="C52" s="33">
        <f aca="true" t="shared" si="13" ref="C52:L52">C12/C11</f>
        <v>0.40271900603223193</v>
      </c>
      <c r="D52" s="33">
        <f t="shared" si="13"/>
        <v>0.737038961396458</v>
      </c>
      <c r="E52" s="33">
        <f t="shared" si="13"/>
        <v>0.5503738765162395</v>
      </c>
      <c r="F52" s="33">
        <f t="shared" si="13"/>
        <v>0.5208429075828056</v>
      </c>
      <c r="G52" s="34">
        <f t="shared" si="13"/>
        <v>0.6859535429859589</v>
      </c>
      <c r="H52" s="35">
        <f t="shared" si="13"/>
        <v>0.6566617508093335</v>
      </c>
      <c r="I52" s="35">
        <f t="shared" si="13"/>
        <v>0.6410644545306248</v>
      </c>
      <c r="J52" s="36">
        <f t="shared" si="13"/>
        <v>0.7115694138205617</v>
      </c>
      <c r="K52" s="33">
        <f t="shared" si="13"/>
        <v>0.419336247279702</v>
      </c>
      <c r="L52" s="33">
        <f t="shared" si="13"/>
        <v>0.3986136169404615</v>
      </c>
    </row>
    <row r="53" spans="1:12" ht="11.25">
      <c r="A53" s="2" t="s">
        <v>46</v>
      </c>
      <c r="B53" s="2"/>
      <c r="C53" s="37">
        <f aca="true" t="shared" si="14" ref="C53:L53">(C12+C16)/C17</f>
        <v>0.7444016686679128</v>
      </c>
      <c r="D53" s="37">
        <f t="shared" si="14"/>
        <v>0.925827403329753</v>
      </c>
      <c r="E53" s="37">
        <f t="shared" si="14"/>
        <v>0.7115717622000561</v>
      </c>
      <c r="F53" s="37">
        <f t="shared" si="14"/>
        <v>0.6277994849045703</v>
      </c>
      <c r="G53" s="38">
        <f t="shared" si="14"/>
        <v>0.7814801603649407</v>
      </c>
      <c r="H53" s="37">
        <f t="shared" si="14"/>
        <v>0.7599225500679132</v>
      </c>
      <c r="I53" s="37">
        <f t="shared" si="14"/>
        <v>0.7376678456713556</v>
      </c>
      <c r="J53" s="39">
        <f t="shared" si="14"/>
        <v>0.8100183047029006</v>
      </c>
      <c r="K53" s="37">
        <f t="shared" si="14"/>
        <v>0.5716725041231285</v>
      </c>
      <c r="L53" s="37">
        <f t="shared" si="14"/>
        <v>0.5145651971509706</v>
      </c>
    </row>
    <row r="54" spans="1:10" ht="11.25">
      <c r="A54" s="9" t="s">
        <v>47</v>
      </c>
      <c r="G54" s="30"/>
      <c r="H54" s="31"/>
      <c r="I54" s="31"/>
      <c r="J54" s="32"/>
    </row>
    <row r="55" spans="1:12" ht="11.25">
      <c r="A55" s="1" t="s">
        <v>48</v>
      </c>
      <c r="B55" s="31"/>
      <c r="C55" s="40">
        <f>C40/C28</f>
        <v>0.010451103764530234</v>
      </c>
      <c r="D55" s="40">
        <f>(D40/0.75)/D28</f>
        <v>0.00986169247233172</v>
      </c>
      <c r="E55" s="23">
        <f>(E40/0.5)/E28</f>
        <v>-0.006943613073147372</v>
      </c>
      <c r="F55" s="23">
        <f>((F40)/0.25)/F28</f>
        <v>-0.04128041714947856</v>
      </c>
      <c r="G55" s="41">
        <f>G40/G28</f>
        <v>0.05116019900497512</v>
      </c>
      <c r="H55" s="40">
        <f>(H40/0.75)/H28</f>
        <v>0.05107435987987807</v>
      </c>
      <c r="I55" s="40">
        <f>(I40/0.5)/I28</f>
        <v>0.0476922176369011</v>
      </c>
      <c r="J55" s="26">
        <f>((J40)/0.25)/J28</f>
        <v>0.045664230345051134</v>
      </c>
      <c r="K55" s="23">
        <f>K40/K28</f>
        <v>0.014103751448375536</v>
      </c>
      <c r="L55" s="23">
        <f>L40/L28</f>
        <v>0.026758599260938883</v>
      </c>
    </row>
    <row r="56" spans="1:12" ht="11.25">
      <c r="A56" s="1" t="s">
        <v>49</v>
      </c>
      <c r="B56" s="31"/>
      <c r="C56" s="40">
        <f>C40/C27</f>
        <v>0.003720153361424287</v>
      </c>
      <c r="D56" s="40">
        <f>(D40/0.75)/D27</f>
        <v>0.0028414136032676256</v>
      </c>
      <c r="E56" s="23">
        <f>(E40/0.5)/E27</f>
        <v>-0.002601356181164275</v>
      </c>
      <c r="F56" s="23">
        <f>((F40)/0.25)/F27</f>
        <v>-0.014804675680203421</v>
      </c>
      <c r="G56" s="41">
        <f>G40/G27</f>
        <v>0.019383246625951898</v>
      </c>
      <c r="H56" s="40">
        <f>(H40/0.75)/H27</f>
        <v>0.02069360935636908</v>
      </c>
      <c r="I56" s="40">
        <f>(I40/0.5)/I27</f>
        <v>0.02068969895504006</v>
      </c>
      <c r="J56" s="26">
        <f>((J40)/0.25)/J27</f>
        <v>0.018047969603419617</v>
      </c>
      <c r="K56" s="23">
        <f>K40/K27</f>
        <v>0.007943710994881966</v>
      </c>
      <c r="L56" s="23">
        <f>L40/L27</f>
        <v>0.017162596263801965</v>
      </c>
    </row>
    <row r="57" spans="1:12" ht="11.25">
      <c r="A57" s="1" t="s">
        <v>50</v>
      </c>
      <c r="B57" s="31"/>
      <c r="C57" s="40">
        <f>+C40/C31</f>
        <v>0.025999083520246966</v>
      </c>
      <c r="D57" s="40">
        <f>(D40/0.75)/D31</f>
        <v>0.023894509678425192</v>
      </c>
      <c r="E57" s="23">
        <f>(E40/0.5)/E31</f>
        <v>-0.023730070448646643</v>
      </c>
      <c r="F57" s="23">
        <f>((F40)/0.25)/F31</f>
        <v>-0.15112548718084684</v>
      </c>
      <c r="G57" s="41">
        <f>+G40/G31</f>
        <v>0.17044354571371742</v>
      </c>
      <c r="H57" s="40">
        <f>(H40/0.75)/H31</f>
        <v>0.18288625214123638</v>
      </c>
      <c r="I57" s="40">
        <f>(I40/0.5)/I31</f>
        <v>0.1796309820727288</v>
      </c>
      <c r="J57" s="26">
        <f>((J40)/0.25)/J31</f>
        <v>0.1662899998560509</v>
      </c>
      <c r="K57" s="23">
        <f>K40/K31</f>
        <v>0.05047412383698463</v>
      </c>
      <c r="L57" s="23">
        <f>L40/L31</f>
        <v>0.11672448567970956</v>
      </c>
    </row>
    <row r="58" spans="1:12" ht="11.25">
      <c r="A58" s="1" t="s">
        <v>51</v>
      </c>
      <c r="B58" s="31"/>
      <c r="C58" s="40">
        <f>C33/C28</f>
        <v>0.16074146606299747</v>
      </c>
      <c r="D58" s="40">
        <f>(D33/0.75)/D28</f>
        <v>0.1895666544750139</v>
      </c>
      <c r="E58" s="23">
        <f>(E33/0.5)/E28</f>
        <v>0.1572189632467377</v>
      </c>
      <c r="F58" s="23">
        <f>((F33)/0.25)/F28</f>
        <v>0.17479721900347625</v>
      </c>
      <c r="G58" s="41">
        <f>G33/G28</f>
        <v>0.19785074626865673</v>
      </c>
      <c r="H58" s="40">
        <f>(H33/0.75)/H28</f>
        <v>0.18641440060511794</v>
      </c>
      <c r="I58" s="40">
        <f>(I33/0.5)/I28</f>
        <v>0.16413498404893612</v>
      </c>
      <c r="J58" s="26">
        <f>((J33)/0.25)/J28</f>
        <v>0.14075587899295192</v>
      </c>
      <c r="K58" s="23">
        <f>K33/K28</f>
        <v>0.13854568560595049</v>
      </c>
      <c r="L58" s="23">
        <f>L33/L27</f>
        <v>0.08331237633393278</v>
      </c>
    </row>
    <row r="59" spans="1:12" ht="11.25">
      <c r="A59" s="1" t="s">
        <v>52</v>
      </c>
      <c r="B59" s="31"/>
      <c r="C59" s="40">
        <f>C34/C28</f>
        <v>0.110405537727709</v>
      </c>
      <c r="D59" s="40">
        <f>(D34/0.75)/D28</f>
        <v>0.13264518226520908</v>
      </c>
      <c r="E59" s="23">
        <f>(E34/0.5)/E28</f>
        <v>0.11211540763797438</v>
      </c>
      <c r="F59" s="23">
        <f>((F34)/0.25)/F28</f>
        <v>0.12673812282734648</v>
      </c>
      <c r="G59" s="41">
        <f>G34/G28</f>
        <v>0.13795820895522387</v>
      </c>
      <c r="H59" s="40">
        <f>(H34/0.75)/H28</f>
        <v>0.129459175827341</v>
      </c>
      <c r="I59" s="40">
        <f>(I34/0.5)/I28</f>
        <v>0.10940381069452981</v>
      </c>
      <c r="J59" s="26">
        <f>((J34)/0.25)/J28</f>
        <v>0.085984101321464</v>
      </c>
      <c r="K59" s="23">
        <f>K34/K28</f>
        <v>0.07758724515858414</v>
      </c>
      <c r="L59" s="23">
        <f>L34/L27</f>
        <v>0.0498080655186976</v>
      </c>
    </row>
    <row r="60" spans="1:12" ht="11.25">
      <c r="A60" s="1" t="s">
        <v>53</v>
      </c>
      <c r="B60" s="31"/>
      <c r="C60" s="40">
        <f>C35/C28</f>
        <v>0.05033592833528847</v>
      </c>
      <c r="D60" s="40">
        <f>(D35/0.75)/D28</f>
        <v>0.0569214722098048</v>
      </c>
      <c r="E60" s="23">
        <f>(E35/0.5)/E28</f>
        <v>0.04510355560876332</v>
      </c>
      <c r="F60" s="23">
        <f>((F35)/0.25)/F28</f>
        <v>0.04805909617612978</v>
      </c>
      <c r="G60" s="41">
        <f>G35/G28</f>
        <v>0.05989253731343284</v>
      </c>
      <c r="H60" s="40">
        <f>(H35/0.75)/H28</f>
        <v>0.056955224777776946</v>
      </c>
      <c r="I60" s="40">
        <f>(I35/0.5)/I28</f>
        <v>0.0547311733544063</v>
      </c>
      <c r="J60" s="26">
        <f>((J35)/0.25)/J28</f>
        <v>0.05477177767148792</v>
      </c>
      <c r="K60" s="23">
        <f>K35/K28</f>
        <v>0.06095844044736635</v>
      </c>
      <c r="L60" s="23">
        <f>L35/L27</f>
        <v>0.03350431081523519</v>
      </c>
    </row>
    <row r="61" spans="1:12" ht="11.25">
      <c r="A61" s="1" t="s">
        <v>54</v>
      </c>
      <c r="B61" s="31"/>
      <c r="C61" s="40">
        <f>C38/C37</f>
        <v>0.4103742613263296</v>
      </c>
      <c r="D61" s="40">
        <f>(D38/0.75)/(D37/0.75)</f>
        <v>0.3727820025348543</v>
      </c>
      <c r="E61" s="23">
        <f>(E38/0.5)/(E37/0.5)</f>
        <v>0.355908122188018</v>
      </c>
      <c r="F61" s="23">
        <f>(F38/0.25)/(F37/0.25)</f>
        <v>0.23107221006564552</v>
      </c>
      <c r="G61" s="41">
        <f>G38/G37</f>
        <v>0.13137032842582105</v>
      </c>
      <c r="H61" s="40">
        <f>(H38/0.75)/(H37/0.75)</f>
        <v>0.12201345395499885</v>
      </c>
      <c r="I61" s="40">
        <f>(I38/0.5)/(I37/0.5)</f>
        <v>0.15280201667636223</v>
      </c>
      <c r="J61" s="26">
        <f>(J38/0.25)/(J37/0.25)</f>
        <v>0.22631578947368422</v>
      </c>
      <c r="K61" s="23">
        <f>K38/K37</f>
        <v>0.2255533348138278</v>
      </c>
      <c r="L61" s="23">
        <f>L38/L37</f>
        <v>0.31742431712848834</v>
      </c>
    </row>
    <row r="62" spans="1:12" ht="11.25">
      <c r="A62" s="2" t="s">
        <v>55</v>
      </c>
      <c r="B62" s="2"/>
      <c r="C62" s="42">
        <f>C36/C28</f>
        <v>0.023490746216564707</v>
      </c>
      <c r="D62" s="42">
        <f>(D36/0.75)/D28</f>
        <v>0.02858265263271969</v>
      </c>
      <c r="E62" s="27">
        <f>(E36/0.5)/E28</f>
        <v>0.01809230216688615</v>
      </c>
      <c r="F62" s="27">
        <f>(F36/0.25)/F28</f>
        <v>0.01813441483198146</v>
      </c>
      <c r="G62" s="43">
        <f>G36/G28</f>
        <v>0.02445373134328358</v>
      </c>
      <c r="H62" s="42">
        <f>(H36/0.75)/H28</f>
        <v>0.02942436150788582</v>
      </c>
      <c r="I62" s="42">
        <f>(I36/0.5)/I28</f>
        <v>0.020736383059677465</v>
      </c>
      <c r="J62" s="29">
        <f>(J36/0.25)/J28</f>
        <v>0.005312735940421461</v>
      </c>
      <c r="K62" s="27">
        <f>K36/K28</f>
        <v>0.051248613920186724</v>
      </c>
      <c r="L62" s="27">
        <f>L36/L27</f>
        <v>0.014614541468761417</v>
      </c>
    </row>
    <row r="63" spans="1:10" ht="11.25">
      <c r="A63" s="9" t="s">
        <v>56</v>
      </c>
      <c r="G63" s="30"/>
      <c r="H63" s="31"/>
      <c r="I63" s="31"/>
      <c r="J63" s="32"/>
    </row>
    <row r="64" spans="1:12" ht="11.25">
      <c r="A64" s="1" t="s">
        <v>57</v>
      </c>
      <c r="C64" s="1">
        <v>4</v>
      </c>
      <c r="D64" s="14">
        <v>4</v>
      </c>
      <c r="E64" s="14">
        <v>8</v>
      </c>
      <c r="F64" s="14">
        <v>7</v>
      </c>
      <c r="G64" s="15">
        <v>7</v>
      </c>
      <c r="H64" s="16">
        <v>8</v>
      </c>
      <c r="I64" s="16">
        <v>8</v>
      </c>
      <c r="J64" s="17">
        <v>8</v>
      </c>
      <c r="K64" s="14">
        <v>8</v>
      </c>
      <c r="L64" s="14">
        <v>15</v>
      </c>
    </row>
    <row r="65" spans="1:12" ht="11.25">
      <c r="A65" s="1" t="s">
        <v>58</v>
      </c>
      <c r="C65" s="1">
        <v>1</v>
      </c>
      <c r="D65" s="14">
        <v>1</v>
      </c>
      <c r="E65" s="14">
        <v>1</v>
      </c>
      <c r="F65" s="14">
        <v>1</v>
      </c>
      <c r="G65" s="15">
        <v>1</v>
      </c>
      <c r="H65" s="16">
        <v>1</v>
      </c>
      <c r="I65" s="16">
        <v>1</v>
      </c>
      <c r="J65" s="17">
        <v>1</v>
      </c>
      <c r="K65" s="14">
        <v>1</v>
      </c>
      <c r="L65" s="14">
        <v>1</v>
      </c>
    </row>
    <row r="66" spans="1:12" ht="11.25">
      <c r="A66" s="1" t="s">
        <v>59</v>
      </c>
      <c r="C66" s="14">
        <f aca="true" t="shared" si="15" ref="C66:L66">C13/C64</f>
        <v>17158.5</v>
      </c>
      <c r="D66" s="14">
        <f t="shared" si="15"/>
        <v>16308</v>
      </c>
      <c r="E66" s="14">
        <f t="shared" si="15"/>
        <v>14888.625</v>
      </c>
      <c r="F66" s="14">
        <f t="shared" si="15"/>
        <v>22439.428571428572</v>
      </c>
      <c r="G66" s="15">
        <f t="shared" si="15"/>
        <v>18030.714285714286</v>
      </c>
      <c r="H66" s="16">
        <f t="shared" si="15"/>
        <v>15002.375</v>
      </c>
      <c r="I66" s="16">
        <f t="shared" si="15"/>
        <v>17072.75</v>
      </c>
      <c r="J66" s="17">
        <f t="shared" si="15"/>
        <v>13434.875</v>
      </c>
      <c r="K66" s="14">
        <f t="shared" si="15"/>
        <v>14112.875</v>
      </c>
      <c r="L66" s="14">
        <f t="shared" si="15"/>
        <v>7751.133333333333</v>
      </c>
    </row>
    <row r="67" spans="1:12" ht="11.25">
      <c r="A67" s="1" t="s">
        <v>60</v>
      </c>
      <c r="C67" s="14">
        <f aca="true" t="shared" si="16" ref="C67:L67">C17/C64</f>
        <v>20195.75</v>
      </c>
      <c r="D67" s="14">
        <f t="shared" si="16"/>
        <v>59584</v>
      </c>
      <c r="E67" s="14">
        <f t="shared" si="16"/>
        <v>29812.875</v>
      </c>
      <c r="F67" s="14">
        <f t="shared" si="16"/>
        <v>43764.42857142857</v>
      </c>
      <c r="G67" s="15">
        <f t="shared" si="16"/>
        <v>56870.28571428572</v>
      </c>
      <c r="H67" s="16">
        <f t="shared" si="16"/>
        <v>43253.75</v>
      </c>
      <c r="I67" s="16">
        <f t="shared" si="16"/>
        <v>46154.75</v>
      </c>
      <c r="J67" s="17">
        <f t="shared" si="16"/>
        <v>46163</v>
      </c>
      <c r="K67" s="14">
        <f t="shared" si="16"/>
        <v>21449.125</v>
      </c>
      <c r="L67" s="14">
        <f t="shared" si="16"/>
        <v>11456.533333333333</v>
      </c>
    </row>
    <row r="68" spans="1:12" ht="11.25">
      <c r="A68" s="2" t="s">
        <v>61</v>
      </c>
      <c r="B68" s="2"/>
      <c r="C68" s="18">
        <f aca="true" t="shared" si="17" ref="C68:L68">(C40/C64)</f>
        <v>269.5</v>
      </c>
      <c r="D68" s="18">
        <f t="shared" si="17"/>
        <v>182</v>
      </c>
      <c r="E68" s="46">
        <f t="shared" si="17"/>
        <v>-58</v>
      </c>
      <c r="F68" s="46">
        <f t="shared" si="17"/>
        <v>-203.57142857142858</v>
      </c>
      <c r="G68" s="19">
        <f t="shared" si="17"/>
        <v>918.1428571428571</v>
      </c>
      <c r="H68" s="18">
        <f t="shared" si="17"/>
        <v>637.25</v>
      </c>
      <c r="I68" s="18">
        <f t="shared" si="17"/>
        <v>407.375</v>
      </c>
      <c r="J68" s="20">
        <f t="shared" si="17"/>
        <v>180.5</v>
      </c>
      <c r="K68" s="18">
        <f t="shared" si="17"/>
        <v>212.25</v>
      </c>
      <c r="L68" s="18">
        <f t="shared" si="17"/>
        <v>241.13333333333333</v>
      </c>
    </row>
    <row r="69" spans="1:10" ht="11.25">
      <c r="A69" s="9" t="s">
        <v>62</v>
      </c>
      <c r="G69" s="30"/>
      <c r="H69" s="31"/>
      <c r="I69" s="31"/>
      <c r="J69" s="32"/>
    </row>
    <row r="70" spans="1:12" ht="11.25">
      <c r="A70" s="1" t="s">
        <v>63</v>
      </c>
      <c r="C70" s="23">
        <f>(C11/G11)-1</f>
        <v>-0.7013324011455154</v>
      </c>
      <c r="D70" s="23">
        <f>(D11/H11)-1</f>
        <v>-0.2597661274506058</v>
      </c>
      <c r="E70" s="23">
        <f>(E11/I11)-1</f>
        <v>-0.28842370913417714</v>
      </c>
      <c r="F70" s="23">
        <f>(F11/J11)-1</f>
        <v>-0.13628145519850332</v>
      </c>
      <c r="G70" s="24">
        <f>(G11/K11)-1</f>
        <v>1.0575688834790307</v>
      </c>
      <c r="H70" s="25">
        <f>(H11/264343)-1</f>
        <v>0.48521806894829833</v>
      </c>
      <c r="I70" s="25">
        <f>(I11/213220)-1</f>
        <v>0.9550323609417504</v>
      </c>
      <c r="J70" s="26">
        <f>(J11/226905)-1</f>
        <v>0.820880985434433</v>
      </c>
      <c r="K70" s="23">
        <f>(K11/L11)-1</f>
        <v>0.029759756908175783</v>
      </c>
      <c r="L70" s="23">
        <f>(L11/210878)-1</f>
        <v>-0.0012234562163905283</v>
      </c>
    </row>
    <row r="71" spans="1:12" ht="11.25">
      <c r="A71" s="1" t="s">
        <v>64</v>
      </c>
      <c r="C71" s="23">
        <f aca="true" t="shared" si="18" ref="C71:E73">(C13/G13)-1</f>
        <v>-0.45621360377134257</v>
      </c>
      <c r="D71" s="23">
        <f t="shared" si="18"/>
        <v>-0.4564860563744074</v>
      </c>
      <c r="E71" s="23">
        <f t="shared" si="18"/>
        <v>-0.12793047400096647</v>
      </c>
      <c r="F71" s="23">
        <f>F13/J13-1</f>
        <v>0.46145758706351936</v>
      </c>
      <c r="G71" s="24">
        <f>(G13/K13)-1</f>
        <v>0.11790652152732872</v>
      </c>
      <c r="H71" s="25">
        <f>H13/133863-1</f>
        <v>-0.10341916735767165</v>
      </c>
      <c r="I71" s="25">
        <f>I13/124462-1</f>
        <v>0.09737911973132363</v>
      </c>
      <c r="J71" s="26">
        <f>J13/126278-1</f>
        <v>-0.14886995359445032</v>
      </c>
      <c r="K71" s="23">
        <f>(K13/L13)-1</f>
        <v>-0.02893340328726124</v>
      </c>
      <c r="L71" s="23">
        <f>L13/135292-1</f>
        <v>-0.14062176625373268</v>
      </c>
    </row>
    <row r="72" spans="2:12" ht="11.25">
      <c r="B72" s="1" t="s">
        <v>15</v>
      </c>
      <c r="C72" s="23">
        <f t="shared" si="18"/>
        <v>-1</v>
      </c>
      <c r="D72" s="23">
        <f t="shared" si="18"/>
        <v>-1</v>
      </c>
      <c r="E72" s="23">
        <f t="shared" si="18"/>
        <v>11.9</v>
      </c>
      <c r="F72" s="23">
        <f>(F14/J14)-1</f>
        <v>6.5</v>
      </c>
      <c r="G72" s="24">
        <f>(G14/K14)-1</f>
        <v>27.925925925925927</v>
      </c>
      <c r="H72" s="25">
        <f>(H14/30)-1</f>
        <v>-0.7</v>
      </c>
      <c r="I72" s="25">
        <f>(I14/13)-1</f>
        <v>-0.23076923076923073</v>
      </c>
      <c r="J72" s="26">
        <f>(J14/14)-1</f>
        <v>0.4285714285714286</v>
      </c>
      <c r="K72" s="23">
        <f>(K14/L14)-1</f>
        <v>-0.0357142857142857</v>
      </c>
      <c r="L72" s="23">
        <f>(L14/114)-1</f>
        <v>-0.7543859649122807</v>
      </c>
    </row>
    <row r="73" spans="2:12" ht="11.25">
      <c r="B73" s="1" t="s">
        <v>16</v>
      </c>
      <c r="C73" s="23">
        <f t="shared" si="18"/>
        <v>-0.4528277819411005</v>
      </c>
      <c r="D73" s="23">
        <f t="shared" si="18"/>
        <v>-0.4564452962253146</v>
      </c>
      <c r="E73" s="23">
        <f t="shared" si="18"/>
        <v>-0.12881117652227392</v>
      </c>
      <c r="F73" s="23">
        <f>(F15/J15)-1</f>
        <v>0.46033370867028345</v>
      </c>
      <c r="G73" s="24">
        <f>(G15/K15)-1</f>
        <v>0.11125482830716882</v>
      </c>
      <c r="H73" s="25">
        <f>(H15/133833)-1</f>
        <v>-0.10328543782176292</v>
      </c>
      <c r="I73" s="25">
        <f>(I15/124449)-1</f>
        <v>0.097413398259528</v>
      </c>
      <c r="J73" s="26">
        <f>(J15/126264)-1</f>
        <v>-0.148933979598302</v>
      </c>
      <c r="K73" s="23">
        <f>(K15/L15)-1</f>
        <v>-0.028931769887903358</v>
      </c>
      <c r="L73" s="23">
        <f>(L15/135179)-1</f>
        <v>-0.14011052012516734</v>
      </c>
    </row>
    <row r="74" spans="1:12" ht="11.25">
      <c r="A74" s="1" t="s">
        <v>65</v>
      </c>
      <c r="C74" s="23">
        <f>(C17/G17)-1</f>
        <v>-0.7970745455824282</v>
      </c>
      <c r="D74" s="23">
        <f>(D17/H17)-1</f>
        <v>-0.3112273502297489</v>
      </c>
      <c r="E74" s="23">
        <f>(E17/I17)-1</f>
        <v>-0.35406702452076977</v>
      </c>
      <c r="F74" s="23">
        <f>(F17/J17)-1</f>
        <v>-0.17046389965990083</v>
      </c>
      <c r="G74" s="24">
        <f>(G17/K17)-1</f>
        <v>1.3199780876842295</v>
      </c>
      <c r="H74" s="25">
        <f>H17/221708-1</f>
        <v>0.5607465675573275</v>
      </c>
      <c r="I74" s="25">
        <f>I17/173389-1</f>
        <v>1.1295353223099505</v>
      </c>
      <c r="J74" s="26">
        <f>J17/187483-1</f>
        <v>0.969799928526853</v>
      </c>
      <c r="K74" s="23">
        <f>(K17/L17)-1</f>
        <v>-0.0014838694660397334</v>
      </c>
      <c r="L74" s="23">
        <f>L17/160967-1</f>
        <v>0.06759770636217355</v>
      </c>
    </row>
    <row r="75" spans="2:12" ht="11.25">
      <c r="B75" s="1" t="s">
        <v>15</v>
      </c>
      <c r="C75" s="23">
        <f>(C18/G18)-1</f>
        <v>-1</v>
      </c>
      <c r="D75" s="23">
        <v>0</v>
      </c>
      <c r="E75" s="23">
        <f>(E18/I18)-1</f>
        <v>0.6081081081081081</v>
      </c>
      <c r="F75" s="23">
        <f>(F18/J18)-1</f>
        <v>-0.09420289855072461</v>
      </c>
      <c r="G75" s="24">
        <f>(G18/K18)-1</f>
        <v>5.085106382978723</v>
      </c>
      <c r="H75" s="25">
        <f>(H18/181)-1</f>
        <v>-1</v>
      </c>
      <c r="I75" s="25">
        <f>(I18/286)-1</f>
        <v>-0.7412587412587412</v>
      </c>
      <c r="J75" s="26">
        <f>(J18/339)-1</f>
        <v>-0.5929203539823009</v>
      </c>
      <c r="K75" s="23">
        <f>(K18/L18)-1</f>
        <v>-0.8089430894308943</v>
      </c>
      <c r="L75" s="23">
        <f>(L18/701)-1</f>
        <v>-0.29814550641940085</v>
      </c>
    </row>
    <row r="76" spans="2:12" ht="11.25">
      <c r="B76" s="1" t="s">
        <v>16</v>
      </c>
      <c r="C76" s="23">
        <f>(C22/G22)-1</f>
        <v>-0.796782551821292</v>
      </c>
      <c r="D76" s="23">
        <f>(D22/H22)-1</f>
        <v>-0.31128803860936916</v>
      </c>
      <c r="E76" s="23">
        <f>(E22/I22)-1</f>
        <v>-0.3542598953310724</v>
      </c>
      <c r="F76" s="23">
        <f>(F22/J22)-1</f>
        <v>-0.17049240720976466</v>
      </c>
      <c r="G76" s="24">
        <f>(G22/K22)-1</f>
        <v>1.3179143901713712</v>
      </c>
      <c r="H76" s="25">
        <f>(H22/221526)-1</f>
        <v>0.5620288363442665</v>
      </c>
      <c r="I76" s="25">
        <f>(I22/173102)-1</f>
        <v>1.1326385599242066</v>
      </c>
      <c r="J76" s="26">
        <f>(J22/187145)-1</f>
        <v>0.9726201608378531</v>
      </c>
      <c r="K76" s="23">
        <f>(K22/L22)-1</f>
        <v>0.0008345199467774123</v>
      </c>
      <c r="L76" s="23">
        <f>(L22/160266)-1</f>
        <v>0.06919745922404008</v>
      </c>
    </row>
    <row r="77" spans="1:12" ht="11.25">
      <c r="A77" s="1" t="s">
        <v>66</v>
      </c>
      <c r="C77" s="23">
        <f>(C25/G25)-1</f>
        <v>0.026341511093734837</v>
      </c>
      <c r="D77" s="23">
        <f>(D25/H25)-1</f>
        <v>0.05197757235944844</v>
      </c>
      <c r="E77" s="23">
        <f>(E25/I25)-1</f>
        <v>0.07170291102693827</v>
      </c>
      <c r="F77" s="23">
        <f>(F25/J25)-1</f>
        <v>0.09917907332684006</v>
      </c>
      <c r="G77" s="24">
        <f>(G25/K25)-1</f>
        <v>0.18651242353077624</v>
      </c>
      <c r="H77" s="25">
        <f>(H25/34740)-1</f>
        <v>0.13972366148531945</v>
      </c>
      <c r="I77" s="25">
        <f>(I25/34818)-1</f>
        <v>0.08429547934976167</v>
      </c>
      <c r="J77" s="26">
        <f>(J25/33534)-1</f>
        <v>0.07159897417546368</v>
      </c>
      <c r="K77" s="23">
        <f>(K25/L25)-1</f>
        <v>0.051843493641547944</v>
      </c>
      <c r="L77" s="23">
        <f>(L25/29184)-1</f>
        <v>0.1235951206140351</v>
      </c>
    </row>
    <row r="78" spans="1:12" ht="11.25">
      <c r="A78" s="2" t="s">
        <v>67</v>
      </c>
      <c r="B78" s="2"/>
      <c r="C78" s="27">
        <f>(C40/G40)-1</f>
        <v>-0.8322701104714486</v>
      </c>
      <c r="D78" s="27">
        <f>(D40/H40)-1</f>
        <v>-0.8571989015300118</v>
      </c>
      <c r="E78" s="27">
        <f>(E40/I40)-1</f>
        <v>-1.1423749616446763</v>
      </c>
      <c r="F78" s="27">
        <f>(F40/J40)-1</f>
        <v>-1.986842105263158</v>
      </c>
      <c r="G78" s="28">
        <f>(G40/K40)-1</f>
        <v>2.7850412249705534</v>
      </c>
      <c r="H78" s="27">
        <f>(H40/1947)-1</f>
        <v>1.6183872624550593</v>
      </c>
      <c r="I78" s="27">
        <f>(I40/2026)-1</f>
        <v>0.6085883514313919</v>
      </c>
      <c r="J78" s="29">
        <f>(J40/742)-1</f>
        <v>0.9460916442048517</v>
      </c>
      <c r="K78" s="27">
        <f>(K40/L40)-1</f>
        <v>-0.5305501797069394</v>
      </c>
      <c r="L78" s="27">
        <f>(L40/8250)-1</f>
        <v>-0.5615757575757576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4045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2002-03-19T20:11:13Z</dcterms:created>
  <dcterms:modified xsi:type="dcterms:W3CDTF">2002-04-01T21:08:22Z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