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Café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<sst xmlns="http://schemas.openxmlformats.org/spreadsheetml/2006/main" count="84" uniqueCount="68">
  <si>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CUADRO No. 18-23</t>
  </si>
  <si>
    <t>BANCAFE (PANAMA), S.A.</t>
  </si>
  <si>
    <t>ESTADISTICA FINANCIERA. AÑO 1999, TRIMESTRES DE 2000 Y 2001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</si>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</sst>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0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0.0%"/>
    <numFmt numFmtId="190" formatCode="_(* #,##0.0000_);_(* \(#,##0.0000\);_(* &quot;-&quot;??_);_(@_)"/>
    <numFmt numFmtId="191" formatCode="0.00000"/>
    <numFmt numFmtId="192" formatCode="0.0000"/>
    <numFmt numFmtId="193" formatCode="0.000"/>
    <numFmt numFmtId="194" formatCode="0.0"/>
    <numFmt numFmtId="195" formatCode="#,##0.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187" fontId="1" fillId="0" borderId="6" xfId="15" applyNumberFormat="1" applyFont="1" applyBorder="1" applyAlignment="1">
      <alignment/>
    </xf>
    <xf numFmtId="187" fontId="1" fillId="0" borderId="0" xfId="15" applyNumberFormat="1" applyFont="1" applyBorder="1" applyAlignment="1">
      <alignment/>
    </xf>
    <xf numFmtId="187" fontId="1" fillId="0" borderId="7" xfId="15" applyNumberFormat="1" applyFont="1" applyBorder="1" applyAlignment="1">
      <alignment/>
    </xf>
    <xf numFmtId="187" fontId="1" fillId="0" borderId="0" xfId="15" applyNumberFormat="1" applyFont="1" applyAlignment="1">
      <alignment/>
    </xf>
    <xf numFmtId="187" fontId="2" fillId="0" borderId="0" xfId="15" applyNumberFormat="1" applyFont="1" applyAlignment="1">
      <alignment/>
    </xf>
    <xf numFmtId="187" fontId="2" fillId="0" borderId="6" xfId="15" applyNumberFormat="1" applyFont="1" applyBorder="1" applyAlignment="1">
      <alignment/>
    </xf>
    <xf numFmtId="187" fontId="2" fillId="0" borderId="0" xfId="15" applyNumberFormat="1" applyFont="1" applyBorder="1" applyAlignment="1">
      <alignment/>
    </xf>
    <xf numFmtId="187" fontId="2" fillId="0" borderId="7" xfId="15" applyNumberFormat="1" applyFont="1" applyBorder="1" applyAlignment="1">
      <alignment/>
    </xf>
    <xf numFmtId="0" fontId="2" fillId="0" borderId="1" xfId="0" applyFont="1" applyBorder="1" applyAlignment="1">
      <alignment/>
    </xf>
    <xf numFmtId="187" fontId="2" fillId="0" borderId="1" xfId="15" applyNumberFormat="1" applyFont="1" applyBorder="1" applyAlignment="1">
      <alignment/>
    </xf>
    <xf numFmtId="187" fontId="2" fillId="0" borderId="4" xfId="15" applyNumberFormat="1" applyFont="1" applyBorder="1" applyAlignment="1">
      <alignment/>
    </xf>
    <xf numFmtId="187" fontId="2" fillId="0" borderId="5" xfId="15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87" fontId="2" fillId="0" borderId="0" xfId="0" applyNumberFormat="1" applyFont="1" applyAlignment="1">
      <alignment/>
    </xf>
    <xf numFmtId="10" fontId="2" fillId="0" borderId="0" xfId="19" applyNumberFormat="1" applyFont="1" applyAlignment="1">
      <alignment/>
    </xf>
    <xf numFmtId="10" fontId="2" fillId="0" borderId="6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7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89" fontId="2" fillId="0" borderId="0" xfId="19" applyNumberFormat="1" applyFont="1" applyAlignment="1">
      <alignment/>
    </xf>
    <xf numFmtId="189" fontId="2" fillId="0" borderId="6" xfId="19" applyNumberFormat="1" applyFont="1" applyBorder="1" applyAlignment="1">
      <alignment/>
    </xf>
    <xf numFmtId="189" fontId="2" fillId="0" borderId="0" xfId="19" applyNumberFormat="1" applyFont="1" applyBorder="1" applyAlignment="1">
      <alignment/>
    </xf>
    <xf numFmtId="189" fontId="2" fillId="0" borderId="7" xfId="19" applyNumberFormat="1" applyFont="1" applyBorder="1" applyAlignment="1">
      <alignment/>
    </xf>
    <xf numFmtId="189" fontId="2" fillId="0" borderId="1" xfId="19" applyNumberFormat="1" applyFont="1" applyBorder="1" applyAlignment="1">
      <alignment/>
    </xf>
    <xf numFmtId="189" fontId="2" fillId="0" borderId="4" xfId="19" applyNumberFormat="1" applyFont="1" applyBorder="1" applyAlignment="1">
      <alignment/>
    </xf>
    <xf numFmtId="189" fontId="2" fillId="0" borderId="5" xfId="19" applyNumberFormat="1" applyFont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6" xfId="19" applyNumberFormat="1" applyFont="1" applyFill="1" applyBorder="1" applyAlignment="1">
      <alignment/>
    </xf>
    <xf numFmtId="10" fontId="2" fillId="0" borderId="1" xfId="19" applyNumberFormat="1" applyFont="1" applyFill="1" applyBorder="1" applyAlignment="1">
      <alignment/>
    </xf>
    <xf numFmtId="10" fontId="2" fillId="0" borderId="4" xfId="19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3" fontId="2" fillId="0" borderId="4" xfId="15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15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" sqref="G2"/>
    </sheetView>
  </sheetViews>
  <sheetFormatPr defaultColWidth="11.421875" defaultRowHeight="12.75"/>
  <cols>
    <col min="1" max="1" width="2.7109375" style="1" customWidth="1"/>
    <col min="2" max="2" width="40.140625" style="1" customWidth="1"/>
    <col min="3" max="3" width="8.8515625" style="1" customWidth="1"/>
    <col min="4" max="4" width="8.7109375" style="1" bestFit="1" customWidth="1"/>
    <col min="5" max="7" width="7.7109375" style="1" bestFit="1" customWidth="1"/>
    <col min="8" max="8" width="8.7109375" style="1" bestFit="1" customWidth="1"/>
    <col min="9" max="11" width="7.7109375" style="1" bestFit="1" customWidth="1"/>
    <col min="12" max="12" width="6.421875" style="1" hidden="1" customWidth="1"/>
    <col min="13" max="16384" width="11.421875" style="1" customWidth="1"/>
  </cols>
  <sheetData>
    <row r="1" ht="11.25"/>
    <row r="2" spans="2:12" ht="11.25">
      <c r="B2" s="45"/>
      <c r="C2" s="45"/>
      <c r="D2" s="45"/>
      <c r="E2" s="45"/>
      <c r="F2" s="45"/>
      <c r="G2" s="45" t="s">
        <v>0</v>
      </c>
      <c r="H2" s="45"/>
      <c r="I2" s="45"/>
      <c r="J2" s="45"/>
      <c r="K2" s="45"/>
      <c r="L2" s="45"/>
    </row>
    <row r="3" spans="2:12" ht="11.25">
      <c r="B3" s="45"/>
      <c r="C3" s="45"/>
      <c r="D3" s="45"/>
      <c r="E3" s="45"/>
      <c r="F3" s="45"/>
      <c r="G3" s="45" t="s">
        <v>1</v>
      </c>
      <c r="H3" s="45"/>
      <c r="I3" s="45"/>
      <c r="J3" s="45"/>
      <c r="K3" s="45"/>
      <c r="L3" s="45"/>
    </row>
    <row r="4" spans="2:12" ht="11.25">
      <c r="B4" s="45"/>
      <c r="C4" s="45"/>
      <c r="D4" s="45"/>
      <c r="E4" s="45"/>
      <c r="F4" s="45"/>
      <c r="G4" s="45" t="s">
        <v>2</v>
      </c>
      <c r="H4" s="45"/>
      <c r="I4" s="45"/>
      <c r="J4" s="45"/>
      <c r="K4" s="45"/>
      <c r="L4" s="45"/>
    </row>
    <row r="5" spans="2:12" ht="11.25">
      <c r="B5" s="3"/>
      <c r="C5" s="3"/>
      <c r="D5" s="3"/>
      <c r="E5" s="3"/>
      <c r="F5" s="3"/>
      <c r="G5" s="3" t="s">
        <v>3</v>
      </c>
      <c r="H5" s="3"/>
      <c r="I5" s="3"/>
      <c r="J5" s="3"/>
      <c r="K5" s="3"/>
      <c r="L5" s="3"/>
    </row>
    <row r="6" spans="1:12" ht="11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1.25">
      <c r="A7" s="2"/>
      <c r="B7" s="2"/>
      <c r="C7" s="2"/>
      <c r="D7" s="2"/>
      <c r="E7" s="2"/>
      <c r="F7" s="2"/>
      <c r="G7" s="3"/>
      <c r="H7" s="3"/>
      <c r="I7" s="3"/>
      <c r="J7" s="3"/>
      <c r="K7" s="3"/>
      <c r="L7" s="3"/>
    </row>
    <row r="8" spans="1:12" ht="11.25">
      <c r="A8" s="4"/>
      <c r="B8" s="4"/>
      <c r="C8" s="50">
        <v>2001</v>
      </c>
      <c r="D8" s="50"/>
      <c r="E8" s="50"/>
      <c r="F8" s="51"/>
      <c r="G8" s="49">
        <v>2000</v>
      </c>
      <c r="H8" s="50"/>
      <c r="I8" s="50"/>
      <c r="J8" s="51"/>
      <c r="K8" s="50" t="s">
        <v>4</v>
      </c>
      <c r="L8" s="50"/>
    </row>
    <row r="9" spans="1:12" ht="11.25">
      <c r="A9" s="5"/>
      <c r="B9" s="5"/>
      <c r="C9" s="6" t="s">
        <v>5</v>
      </c>
      <c r="D9" s="5" t="s">
        <v>6</v>
      </c>
      <c r="E9" s="5" t="s">
        <v>7</v>
      </c>
      <c r="F9" s="5" t="s">
        <v>8</v>
      </c>
      <c r="G9" s="7" t="s">
        <v>5</v>
      </c>
      <c r="H9" s="5" t="s">
        <v>6</v>
      </c>
      <c r="I9" s="5" t="s">
        <v>7</v>
      </c>
      <c r="J9" s="8" t="s">
        <v>8</v>
      </c>
      <c r="K9" s="9" t="s">
        <v>9</v>
      </c>
      <c r="L9" s="9" t="s">
        <v>10</v>
      </c>
    </row>
    <row r="10" spans="1:12" ht="11.25">
      <c r="A10" s="10" t="s">
        <v>11</v>
      </c>
      <c r="B10" s="10"/>
      <c r="C10" s="10"/>
      <c r="D10" s="10"/>
      <c r="E10" s="10"/>
      <c r="F10" s="10"/>
      <c r="G10" s="11"/>
      <c r="H10" s="12"/>
      <c r="I10" s="12"/>
      <c r="J10" s="13"/>
      <c r="K10" s="14"/>
      <c r="L10" s="14"/>
    </row>
    <row r="11" spans="1:12" ht="11.25">
      <c r="A11" s="1" t="s">
        <v>12</v>
      </c>
      <c r="C11" s="15">
        <v>218214</v>
      </c>
      <c r="D11" s="15">
        <v>221537</v>
      </c>
      <c r="E11" s="15">
        <v>229669</v>
      </c>
      <c r="F11" s="15">
        <v>234789</v>
      </c>
      <c r="G11" s="16">
        <v>211220</v>
      </c>
      <c r="H11" s="17">
        <v>209184</v>
      </c>
      <c r="I11" s="17">
        <v>217879</v>
      </c>
      <c r="J11" s="18">
        <v>224316</v>
      </c>
      <c r="K11" s="15">
        <v>215693</v>
      </c>
      <c r="L11" s="15">
        <v>272496</v>
      </c>
    </row>
    <row r="12" spans="1:12" ht="11.25">
      <c r="A12" s="1" t="s">
        <v>13</v>
      </c>
      <c r="C12" s="15">
        <v>17907</v>
      </c>
      <c r="D12" s="15">
        <v>18954</v>
      </c>
      <c r="E12" s="15">
        <v>20853</v>
      </c>
      <c r="F12" s="15">
        <v>20183</v>
      </c>
      <c r="G12" s="16">
        <v>19340</v>
      </c>
      <c r="H12" s="17">
        <v>6685</v>
      </c>
      <c r="I12" s="17">
        <v>10410</v>
      </c>
      <c r="J12" s="18">
        <v>7544</v>
      </c>
      <c r="K12" s="15">
        <v>14728</v>
      </c>
      <c r="L12" s="15">
        <v>10784</v>
      </c>
    </row>
    <row r="13" spans="1:12" ht="11.25">
      <c r="A13" s="1" t="s">
        <v>14</v>
      </c>
      <c r="C13" s="15">
        <f aca="true" t="shared" si="0" ref="C13:L13">C14+C15</f>
        <v>151618</v>
      </c>
      <c r="D13" s="15">
        <f t="shared" si="0"/>
        <v>154158</v>
      </c>
      <c r="E13" s="15">
        <f t="shared" si="0"/>
        <v>161038</v>
      </c>
      <c r="F13" s="15">
        <f t="shared" si="0"/>
        <v>166271</v>
      </c>
      <c r="G13" s="16">
        <f t="shared" si="0"/>
        <v>146791</v>
      </c>
      <c r="H13" s="17">
        <f t="shared" si="0"/>
        <v>181652</v>
      </c>
      <c r="I13" s="17">
        <f t="shared" si="0"/>
        <v>186348</v>
      </c>
      <c r="J13" s="18">
        <f t="shared" si="0"/>
        <v>188313</v>
      </c>
      <c r="K13" s="15">
        <f t="shared" si="0"/>
        <v>178036</v>
      </c>
      <c r="L13" s="15">
        <f t="shared" si="0"/>
        <v>244132</v>
      </c>
    </row>
    <row r="14" spans="2:12" ht="11.25">
      <c r="B14" s="1" t="s">
        <v>15</v>
      </c>
      <c r="C14" s="15">
        <v>103598</v>
      </c>
      <c r="D14" s="15">
        <v>107714</v>
      </c>
      <c r="E14" s="15">
        <v>113979</v>
      </c>
      <c r="F14" s="15">
        <v>115304</v>
      </c>
      <c r="G14" s="16">
        <v>115234</v>
      </c>
      <c r="H14" s="17">
        <v>115159</v>
      </c>
      <c r="I14" s="17">
        <v>115309</v>
      </c>
      <c r="J14" s="18">
        <v>114753</v>
      </c>
      <c r="K14" s="15">
        <v>101671</v>
      </c>
      <c r="L14" s="15">
        <v>108464</v>
      </c>
    </row>
    <row r="15" spans="2:12" ht="11.25">
      <c r="B15" s="1" t="s">
        <v>16</v>
      </c>
      <c r="C15" s="15">
        <v>48020</v>
      </c>
      <c r="D15" s="15">
        <v>46444</v>
      </c>
      <c r="E15" s="15">
        <v>47059</v>
      </c>
      <c r="F15" s="15">
        <v>50967</v>
      </c>
      <c r="G15" s="16">
        <v>31557</v>
      </c>
      <c r="H15" s="17">
        <v>66493</v>
      </c>
      <c r="I15" s="17">
        <v>71039</v>
      </c>
      <c r="J15" s="18">
        <v>73560</v>
      </c>
      <c r="K15" s="15">
        <v>76365</v>
      </c>
      <c r="L15" s="15">
        <v>135668</v>
      </c>
    </row>
    <row r="16" spans="1:12" ht="11.25">
      <c r="A16" s="1" t="s">
        <v>17</v>
      </c>
      <c r="C16" s="15">
        <v>15247</v>
      </c>
      <c r="D16" s="15">
        <v>11425</v>
      </c>
      <c r="E16" s="15">
        <v>8431</v>
      </c>
      <c r="F16" s="15">
        <v>5759</v>
      </c>
      <c r="G16" s="16">
        <v>9212</v>
      </c>
      <c r="H16" s="17">
        <v>5485</v>
      </c>
      <c r="I16" s="17">
        <v>5397</v>
      </c>
      <c r="J16" s="18">
        <v>5300</v>
      </c>
      <c r="K16" s="15">
        <v>5381</v>
      </c>
      <c r="L16" s="15">
        <v>1640</v>
      </c>
    </row>
    <row r="17" spans="1:12" ht="11.25">
      <c r="A17" s="1" t="s">
        <v>18</v>
      </c>
      <c r="C17" s="15">
        <f aca="true" t="shared" si="1" ref="C17:L17">C18+C22</f>
        <v>165543</v>
      </c>
      <c r="D17" s="15">
        <f t="shared" si="1"/>
        <v>161528</v>
      </c>
      <c r="E17" s="15">
        <f t="shared" si="1"/>
        <v>167770</v>
      </c>
      <c r="F17" s="15">
        <f t="shared" si="1"/>
        <v>175529</v>
      </c>
      <c r="G17" s="16">
        <f t="shared" si="1"/>
        <v>150896</v>
      </c>
      <c r="H17" s="17">
        <f t="shared" si="1"/>
        <v>152320</v>
      </c>
      <c r="I17" s="17">
        <f t="shared" si="1"/>
        <v>149219</v>
      </c>
      <c r="J17" s="18">
        <f t="shared" si="1"/>
        <v>160013</v>
      </c>
      <c r="K17" s="15">
        <f t="shared" si="1"/>
        <v>150885</v>
      </c>
      <c r="L17" s="15">
        <f t="shared" si="1"/>
        <v>175245</v>
      </c>
    </row>
    <row r="18" spans="2:12" ht="11.25">
      <c r="B18" s="1" t="s">
        <v>15</v>
      </c>
      <c r="C18" s="15">
        <f aca="true" t="shared" si="2" ref="C18:L18">SUM(C19:C21)</f>
        <v>63601</v>
      </c>
      <c r="D18" s="15">
        <f t="shared" si="2"/>
        <v>44350</v>
      </c>
      <c r="E18" s="15">
        <f t="shared" si="2"/>
        <v>47990</v>
      </c>
      <c r="F18" s="15">
        <f t="shared" si="2"/>
        <v>45253</v>
      </c>
      <c r="G18" s="16">
        <f t="shared" si="2"/>
        <v>39850</v>
      </c>
      <c r="H18" s="17">
        <f t="shared" si="2"/>
        <v>39421</v>
      </c>
      <c r="I18" s="17">
        <f t="shared" si="2"/>
        <v>40805</v>
      </c>
      <c r="J18" s="18">
        <f t="shared" si="2"/>
        <v>45979</v>
      </c>
      <c r="K18" s="15">
        <f t="shared" si="2"/>
        <v>41193</v>
      </c>
      <c r="L18" s="15">
        <f t="shared" si="2"/>
        <v>52177</v>
      </c>
    </row>
    <row r="19" spans="2:12" ht="11.25">
      <c r="B19" s="1" t="s">
        <v>19</v>
      </c>
      <c r="C19" s="15">
        <v>0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7">
        <v>0</v>
      </c>
      <c r="J19" s="18">
        <v>0</v>
      </c>
      <c r="K19" s="15">
        <v>0</v>
      </c>
      <c r="L19" s="15">
        <v>0</v>
      </c>
    </row>
    <row r="20" spans="2:12" ht="11.25">
      <c r="B20" s="1" t="s">
        <v>20</v>
      </c>
      <c r="C20" s="15">
        <f>6154+46283</f>
        <v>52437</v>
      </c>
      <c r="D20" s="15">
        <v>36224</v>
      </c>
      <c r="E20" s="15">
        <v>39893</v>
      </c>
      <c r="F20" s="15">
        <v>37171</v>
      </c>
      <c r="G20" s="16">
        <v>31826</v>
      </c>
      <c r="H20" s="17">
        <v>31408</v>
      </c>
      <c r="I20" s="17">
        <v>32788</v>
      </c>
      <c r="J20" s="18">
        <v>32921</v>
      </c>
      <c r="K20" s="15">
        <v>34669</v>
      </c>
      <c r="L20" s="15">
        <v>41364</v>
      </c>
    </row>
    <row r="21" spans="2:12" ht="11.25">
      <c r="B21" s="1" t="s">
        <v>21</v>
      </c>
      <c r="C21" s="15">
        <f>30+11134</f>
        <v>11164</v>
      </c>
      <c r="D21" s="15">
        <v>8126</v>
      </c>
      <c r="E21" s="15">
        <v>8097</v>
      </c>
      <c r="F21" s="15">
        <v>8082</v>
      </c>
      <c r="G21" s="16">
        <v>8024</v>
      </c>
      <c r="H21" s="17">
        <v>8013</v>
      </c>
      <c r="I21" s="17">
        <v>8017</v>
      </c>
      <c r="J21" s="18">
        <v>13058</v>
      </c>
      <c r="K21" s="15">
        <v>6524</v>
      </c>
      <c r="L21" s="15">
        <v>10813</v>
      </c>
    </row>
    <row r="22" spans="2:12" ht="11.25">
      <c r="B22" s="1" t="s">
        <v>16</v>
      </c>
      <c r="C22" s="15">
        <f aca="true" t="shared" si="3" ref="C22:L22">SUM(C23:C24)</f>
        <v>101942</v>
      </c>
      <c r="D22" s="15">
        <f t="shared" si="3"/>
        <v>117178</v>
      </c>
      <c r="E22" s="15">
        <f t="shared" si="3"/>
        <v>119780</v>
      </c>
      <c r="F22" s="15">
        <f t="shared" si="3"/>
        <v>130276</v>
      </c>
      <c r="G22" s="16">
        <f t="shared" si="3"/>
        <v>111046</v>
      </c>
      <c r="H22" s="17">
        <f t="shared" si="3"/>
        <v>112899</v>
      </c>
      <c r="I22" s="17">
        <f t="shared" si="3"/>
        <v>108414</v>
      </c>
      <c r="J22" s="18">
        <f t="shared" si="3"/>
        <v>114034</v>
      </c>
      <c r="K22" s="15">
        <f t="shared" si="3"/>
        <v>109692</v>
      </c>
      <c r="L22" s="15">
        <f t="shared" si="3"/>
        <v>123068</v>
      </c>
    </row>
    <row r="23" spans="2:12" ht="11.25">
      <c r="B23" s="1" t="s">
        <v>20</v>
      </c>
      <c r="C23" s="15">
        <f>2657+93131</f>
        <v>95788</v>
      </c>
      <c r="D23" s="15">
        <v>83209</v>
      </c>
      <c r="E23" s="15">
        <v>78911</v>
      </c>
      <c r="F23" s="15">
        <v>81623</v>
      </c>
      <c r="G23" s="16">
        <v>82088</v>
      </c>
      <c r="H23" s="17">
        <v>82442</v>
      </c>
      <c r="I23" s="17">
        <v>78107</v>
      </c>
      <c r="J23" s="18">
        <v>79684</v>
      </c>
      <c r="K23" s="15">
        <v>83703</v>
      </c>
      <c r="L23" s="15">
        <v>99949</v>
      </c>
    </row>
    <row r="24" spans="2:12" ht="11.25">
      <c r="B24" s="1" t="s">
        <v>21</v>
      </c>
      <c r="C24" s="15">
        <f>3023+121+10+3000</f>
        <v>6154</v>
      </c>
      <c r="D24" s="15">
        <v>33969</v>
      </c>
      <c r="E24" s="15">
        <v>40869</v>
      </c>
      <c r="F24" s="15">
        <v>48653</v>
      </c>
      <c r="G24" s="16">
        <v>28958</v>
      </c>
      <c r="H24" s="17">
        <v>30457</v>
      </c>
      <c r="I24" s="17">
        <v>30307</v>
      </c>
      <c r="J24" s="18">
        <v>34350</v>
      </c>
      <c r="K24" s="15">
        <v>25989</v>
      </c>
      <c r="L24" s="15">
        <v>23119</v>
      </c>
    </row>
    <row r="25" spans="1:12" ht="11.25">
      <c r="A25" s="19" t="s">
        <v>22</v>
      </c>
      <c r="B25" s="19"/>
      <c r="C25" s="20">
        <v>26707</v>
      </c>
      <c r="D25" s="20">
        <v>28577</v>
      </c>
      <c r="E25" s="20">
        <v>28485</v>
      </c>
      <c r="F25" s="20">
        <v>28187</v>
      </c>
      <c r="G25" s="21">
        <v>27552</v>
      </c>
      <c r="H25" s="20">
        <v>29249</v>
      </c>
      <c r="I25" s="20">
        <v>28861</v>
      </c>
      <c r="J25" s="22">
        <v>28324</v>
      </c>
      <c r="K25" s="20">
        <v>27241</v>
      </c>
      <c r="L25" s="20">
        <v>33675</v>
      </c>
    </row>
    <row r="26" spans="1:12" ht="11.25">
      <c r="A26" s="10" t="s">
        <v>23</v>
      </c>
      <c r="D26" s="15"/>
      <c r="F26" s="15"/>
      <c r="G26" s="16"/>
      <c r="H26" s="17"/>
      <c r="I26" s="17"/>
      <c r="J26" s="18"/>
      <c r="K26" s="15"/>
      <c r="L26" s="15"/>
    </row>
    <row r="27" spans="1:12" ht="11.25">
      <c r="A27" s="1" t="s">
        <v>12</v>
      </c>
      <c r="C27" s="15">
        <f>(C11+G11)/2</f>
        <v>214717</v>
      </c>
      <c r="D27" s="15">
        <f>(D11+H11)/2</f>
        <v>215360.5</v>
      </c>
      <c r="E27" s="15">
        <f>(E11+I11)/2</f>
        <v>223774</v>
      </c>
      <c r="F27" s="15">
        <f>(F11+J11)/2</f>
        <v>229552.5</v>
      </c>
      <c r="G27" s="16">
        <f>(G11+K11)/2</f>
        <v>213456.5</v>
      </c>
      <c r="H27" s="17">
        <f>(H11+261890)/2</f>
        <v>235537</v>
      </c>
      <c r="I27" s="17">
        <f>(I11+266952)/2</f>
        <v>242415.5</v>
      </c>
      <c r="J27" s="18">
        <f>(J11+272649)/2</f>
        <v>248482.5</v>
      </c>
      <c r="K27" s="15">
        <f>(K11+L11)/2</f>
        <v>244094.5</v>
      </c>
      <c r="L27" s="15">
        <f>(L11+247791)/2</f>
        <v>260143.5</v>
      </c>
    </row>
    <row r="28" spans="1:12" ht="11.25">
      <c r="A28" s="1" t="s">
        <v>24</v>
      </c>
      <c r="C28" s="15">
        <f aca="true" t="shared" si="4" ref="C28:L28">C29+C30</f>
        <v>161434</v>
      </c>
      <c r="D28" s="15">
        <f t="shared" si="4"/>
        <v>176360</v>
      </c>
      <c r="E28" s="15">
        <f t="shared" si="4"/>
        <v>180607</v>
      </c>
      <c r="F28" s="15">
        <f t="shared" si="4"/>
        <v>182821.5</v>
      </c>
      <c r="G28" s="16">
        <f t="shared" si="4"/>
        <v>169710</v>
      </c>
      <c r="H28" s="17">
        <f t="shared" si="4"/>
        <v>210011</v>
      </c>
      <c r="I28" s="17">
        <f t="shared" si="4"/>
        <v>216729.5</v>
      </c>
      <c r="J28" s="18">
        <f t="shared" si="4"/>
        <v>217410.5</v>
      </c>
      <c r="K28" s="15">
        <f t="shared" si="4"/>
        <v>214594.5</v>
      </c>
      <c r="L28" s="15">
        <f t="shared" si="4"/>
        <v>228471</v>
      </c>
    </row>
    <row r="29" spans="2:12" ht="11.25">
      <c r="B29" s="1" t="s">
        <v>14</v>
      </c>
      <c r="C29" s="15">
        <f>(C13+G13)/2</f>
        <v>149204.5</v>
      </c>
      <c r="D29" s="15">
        <f>(D13+H13)/2</f>
        <v>167905</v>
      </c>
      <c r="E29" s="15">
        <f>(E13+I13)/2</f>
        <v>173693</v>
      </c>
      <c r="F29" s="15">
        <f>(F13+J13)/2</f>
        <v>177292</v>
      </c>
      <c r="G29" s="16">
        <f>(G13+K13)/2</f>
        <v>162413.5</v>
      </c>
      <c r="H29" s="17">
        <f>(H13+221114)/2</f>
        <v>201383</v>
      </c>
      <c r="I29" s="17">
        <f>(I13+240257)/2</f>
        <v>213302.5</v>
      </c>
      <c r="J29" s="18">
        <f>(J13+239669)/2</f>
        <v>213991</v>
      </c>
      <c r="K29" s="15">
        <f>(K13+L13)/2</f>
        <v>211084</v>
      </c>
      <c r="L29" s="15">
        <f>(L13+208990)/2</f>
        <v>226561</v>
      </c>
    </row>
    <row r="30" spans="2:12" ht="11.25">
      <c r="B30" s="1" t="s">
        <v>17</v>
      </c>
      <c r="C30" s="15">
        <f>(C16+G16)/2</f>
        <v>12229.5</v>
      </c>
      <c r="D30" s="15">
        <f>(D16+H16)/2</f>
        <v>8455</v>
      </c>
      <c r="E30" s="15">
        <f>(E16+I16)/2</f>
        <v>6914</v>
      </c>
      <c r="F30" s="15">
        <f>(F16+J16)/2</f>
        <v>5529.5</v>
      </c>
      <c r="G30" s="16">
        <f>(G16+K16)/2</f>
        <v>7296.5</v>
      </c>
      <c r="H30" s="17">
        <f>(H16+11771)/2</f>
        <v>8628</v>
      </c>
      <c r="I30" s="17">
        <f>(I16+1457)/2</f>
        <v>3427</v>
      </c>
      <c r="J30" s="18">
        <f>(J16+1539)/2</f>
        <v>3419.5</v>
      </c>
      <c r="K30" s="15">
        <f>(K16+L16)/2</f>
        <v>3510.5</v>
      </c>
      <c r="L30" s="15">
        <f>(L16+2180)/2</f>
        <v>1910</v>
      </c>
    </row>
    <row r="31" spans="1:12" ht="11.25">
      <c r="A31" s="19" t="s">
        <v>22</v>
      </c>
      <c r="B31" s="19"/>
      <c r="C31" s="20">
        <f>(C25+G25)/2</f>
        <v>27129.5</v>
      </c>
      <c r="D31" s="20">
        <f>(D25+H25)/2</f>
        <v>28913</v>
      </c>
      <c r="E31" s="20">
        <f>(E25+I25)/2</f>
        <v>28673</v>
      </c>
      <c r="F31" s="20">
        <f>(F25+J25)/2</f>
        <v>28255.5</v>
      </c>
      <c r="G31" s="21">
        <f>(G25+K25)/2</f>
        <v>27396.5</v>
      </c>
      <c r="H31" s="20">
        <f>(H25+31625)/2</f>
        <v>30437</v>
      </c>
      <c r="I31" s="20">
        <f>(I25+30986)/2</f>
        <v>29923.5</v>
      </c>
      <c r="J31" s="22">
        <f>(J25+30415)/2</f>
        <v>29369.5</v>
      </c>
      <c r="K31" s="20">
        <f>(K25+L25)/2</f>
        <v>30458</v>
      </c>
      <c r="L31" s="20">
        <f>(L25+29781)/2</f>
        <v>31728</v>
      </c>
    </row>
    <row r="32" spans="1:10" ht="11.25">
      <c r="A32" s="10" t="s">
        <v>25</v>
      </c>
      <c r="D32" s="15"/>
      <c r="F32" s="15"/>
      <c r="G32" s="23"/>
      <c r="H32" s="24"/>
      <c r="I32" s="24"/>
      <c r="J32" s="25"/>
    </row>
    <row r="33" spans="1:12" ht="11.25">
      <c r="A33" s="1" t="s">
        <v>26</v>
      </c>
      <c r="C33" s="26">
        <v>14050</v>
      </c>
      <c r="D33" s="15">
        <f>E33+3318</f>
        <v>10908</v>
      </c>
      <c r="E33" s="15">
        <f>F33+3645</f>
        <v>7590</v>
      </c>
      <c r="F33" s="15">
        <v>3945</v>
      </c>
      <c r="G33" s="16">
        <f>3474+H33</f>
        <v>15784</v>
      </c>
      <c r="H33" s="17">
        <f>4096+I33</f>
        <v>12310</v>
      </c>
      <c r="I33" s="17">
        <f>3985+J33</f>
        <v>8214</v>
      </c>
      <c r="J33" s="18">
        <v>4229</v>
      </c>
      <c r="K33" s="15">
        <v>19987</v>
      </c>
      <c r="L33" s="15">
        <v>21010</v>
      </c>
    </row>
    <row r="34" spans="1:12" ht="11.25">
      <c r="A34" s="1" t="s">
        <v>27</v>
      </c>
      <c r="C34" s="26">
        <v>11101</v>
      </c>
      <c r="D34" s="15">
        <f>E34+2367</f>
        <v>8048</v>
      </c>
      <c r="E34" s="15">
        <f>F34+2822</f>
        <v>5681</v>
      </c>
      <c r="F34" s="15">
        <v>2859</v>
      </c>
      <c r="G34" s="16">
        <f>2873+H34</f>
        <v>11734</v>
      </c>
      <c r="H34" s="17">
        <f>2906+I34</f>
        <v>8861</v>
      </c>
      <c r="I34" s="17">
        <f>3096+J34</f>
        <v>5955</v>
      </c>
      <c r="J34" s="18">
        <v>2859</v>
      </c>
      <c r="K34" s="15">
        <v>14141</v>
      </c>
      <c r="L34" s="15">
        <v>14296</v>
      </c>
    </row>
    <row r="35" spans="1:12" ht="11.25">
      <c r="A35" s="1" t="s">
        <v>28</v>
      </c>
      <c r="C35" s="15">
        <f aca="true" t="shared" si="5" ref="C35:L35">C33-C34</f>
        <v>2949</v>
      </c>
      <c r="D35" s="15">
        <f t="shared" si="5"/>
        <v>2860</v>
      </c>
      <c r="E35" s="15">
        <f t="shared" si="5"/>
        <v>1909</v>
      </c>
      <c r="F35" s="15">
        <f t="shared" si="5"/>
        <v>1086</v>
      </c>
      <c r="G35" s="16">
        <f t="shared" si="5"/>
        <v>4050</v>
      </c>
      <c r="H35" s="17">
        <f t="shared" si="5"/>
        <v>3449</v>
      </c>
      <c r="I35" s="17">
        <f t="shared" si="5"/>
        <v>2259</v>
      </c>
      <c r="J35" s="18">
        <f t="shared" si="5"/>
        <v>1370</v>
      </c>
      <c r="K35" s="15">
        <f t="shared" si="5"/>
        <v>5846</v>
      </c>
      <c r="L35" s="15">
        <f t="shared" si="5"/>
        <v>6714</v>
      </c>
    </row>
    <row r="36" spans="1:12" ht="11.25">
      <c r="A36" s="1" t="s">
        <v>29</v>
      </c>
      <c r="C36" s="26">
        <v>3967</v>
      </c>
      <c r="D36" s="15">
        <f>E36+407</f>
        <v>1111</v>
      </c>
      <c r="E36" s="15">
        <f>F36+355</f>
        <v>704</v>
      </c>
      <c r="F36" s="15">
        <v>349</v>
      </c>
      <c r="G36" s="16">
        <f>5034+H36</f>
        <v>5928</v>
      </c>
      <c r="H36" s="17">
        <f>267+I36</f>
        <v>894</v>
      </c>
      <c r="I36" s="17">
        <f>407+J36</f>
        <v>627</v>
      </c>
      <c r="J36" s="18">
        <v>220</v>
      </c>
      <c r="K36" s="15">
        <v>1880</v>
      </c>
      <c r="L36" s="15">
        <v>1079</v>
      </c>
    </row>
    <row r="37" spans="1:12" ht="11.25">
      <c r="A37" s="1" t="s">
        <v>30</v>
      </c>
      <c r="C37" s="15">
        <f aca="true" t="shared" si="6" ref="C37:L37">C35+C36</f>
        <v>6916</v>
      </c>
      <c r="D37" s="15">
        <f t="shared" si="6"/>
        <v>3971</v>
      </c>
      <c r="E37" s="15">
        <f t="shared" si="6"/>
        <v>2613</v>
      </c>
      <c r="F37" s="15">
        <f t="shared" si="6"/>
        <v>1435</v>
      </c>
      <c r="G37" s="16">
        <f t="shared" si="6"/>
        <v>9978</v>
      </c>
      <c r="H37" s="17">
        <f t="shared" si="6"/>
        <v>4343</v>
      </c>
      <c r="I37" s="17">
        <f t="shared" si="6"/>
        <v>2886</v>
      </c>
      <c r="J37" s="18">
        <f t="shared" si="6"/>
        <v>1590</v>
      </c>
      <c r="K37" s="15">
        <f t="shared" si="6"/>
        <v>7726</v>
      </c>
      <c r="L37" s="15">
        <f t="shared" si="6"/>
        <v>7793</v>
      </c>
    </row>
    <row r="38" spans="1:12" ht="11.25">
      <c r="A38" s="1" t="s">
        <v>31</v>
      </c>
      <c r="C38" s="26">
        <v>3699</v>
      </c>
      <c r="D38" s="15">
        <f>E38+1267</f>
        <v>3015</v>
      </c>
      <c r="E38" s="15">
        <f>F38+880</f>
        <v>1748</v>
      </c>
      <c r="F38" s="15">
        <v>868</v>
      </c>
      <c r="G38" s="16">
        <f>1245+H38</f>
        <v>4025</v>
      </c>
      <c r="H38" s="17">
        <f>1067+I38</f>
        <v>2780</v>
      </c>
      <c r="I38" s="17">
        <f>941+J38</f>
        <v>1713</v>
      </c>
      <c r="J38" s="18">
        <v>772</v>
      </c>
      <c r="K38" s="15">
        <v>6892</v>
      </c>
      <c r="L38" s="15">
        <v>3898</v>
      </c>
    </row>
    <row r="39" spans="1:12" ht="11.25">
      <c r="A39" s="1" t="s">
        <v>32</v>
      </c>
      <c r="C39" s="15">
        <f aca="true" t="shared" si="7" ref="C39:L39">C37-C38</f>
        <v>3217</v>
      </c>
      <c r="D39" s="15">
        <f t="shared" si="7"/>
        <v>956</v>
      </c>
      <c r="E39" s="15">
        <f t="shared" si="7"/>
        <v>865</v>
      </c>
      <c r="F39" s="15">
        <f t="shared" si="7"/>
        <v>567</v>
      </c>
      <c r="G39" s="16">
        <f t="shared" si="7"/>
        <v>5953</v>
      </c>
      <c r="H39" s="17">
        <f t="shared" si="7"/>
        <v>1563</v>
      </c>
      <c r="I39" s="17">
        <f t="shared" si="7"/>
        <v>1173</v>
      </c>
      <c r="J39" s="18">
        <f t="shared" si="7"/>
        <v>818</v>
      </c>
      <c r="K39" s="15">
        <f t="shared" si="7"/>
        <v>834</v>
      </c>
      <c r="L39" s="15">
        <f t="shared" si="7"/>
        <v>3895</v>
      </c>
    </row>
    <row r="40" spans="1:12" ht="11.25">
      <c r="A40" s="19" t="s">
        <v>33</v>
      </c>
      <c r="B40" s="19"/>
      <c r="C40" s="47">
        <v>-914</v>
      </c>
      <c r="D40" s="20">
        <f>E40+92</f>
        <v>956</v>
      </c>
      <c r="E40" s="20">
        <f>F40+298</f>
        <v>864</v>
      </c>
      <c r="F40" s="20">
        <v>566</v>
      </c>
      <c r="G40" s="46">
        <f>-1697+H40</f>
        <v>-134</v>
      </c>
      <c r="H40" s="20">
        <f>390+I40</f>
        <v>1563</v>
      </c>
      <c r="I40" s="20">
        <f>355+J40</f>
        <v>1173</v>
      </c>
      <c r="J40" s="22">
        <v>818</v>
      </c>
      <c r="K40" s="20">
        <v>834</v>
      </c>
      <c r="L40" s="20">
        <v>3895</v>
      </c>
    </row>
    <row r="41" spans="1:12" ht="11.25">
      <c r="A41" s="10" t="s">
        <v>34</v>
      </c>
      <c r="D41" s="15"/>
      <c r="E41" s="15"/>
      <c r="G41" s="16"/>
      <c r="H41" s="17"/>
      <c r="I41" s="17"/>
      <c r="J41" s="18"/>
      <c r="K41" s="15"/>
      <c r="L41" s="15"/>
    </row>
    <row r="42" spans="1:12" ht="11.25">
      <c r="A42" s="1" t="s">
        <v>35</v>
      </c>
      <c r="C42" s="15">
        <v>26587</v>
      </c>
      <c r="D42" s="15">
        <v>30312</v>
      </c>
      <c r="E42" s="15">
        <v>30658</v>
      </c>
      <c r="F42" s="15">
        <v>28308</v>
      </c>
      <c r="G42" s="16">
        <v>24909</v>
      </c>
      <c r="H42" s="17">
        <v>54332</v>
      </c>
      <c r="I42" s="17">
        <v>48185</v>
      </c>
      <c r="J42" s="18">
        <v>22911</v>
      </c>
      <c r="K42" s="15">
        <v>10503</v>
      </c>
      <c r="L42" s="15">
        <v>9022</v>
      </c>
    </row>
    <row r="43" spans="1:12" ht="11.25">
      <c r="A43" s="1" t="s">
        <v>36</v>
      </c>
      <c r="C43" s="15">
        <v>8152</v>
      </c>
      <c r="D43" s="15">
        <v>4909</v>
      </c>
      <c r="E43" s="15">
        <v>4894</v>
      </c>
      <c r="F43" s="15">
        <v>4890</v>
      </c>
      <c r="G43" s="16">
        <v>4980</v>
      </c>
      <c r="H43" s="17">
        <v>8534</v>
      </c>
      <c r="I43" s="17">
        <v>10191</v>
      </c>
      <c r="J43" s="18">
        <v>9853</v>
      </c>
      <c r="K43" s="15">
        <v>9843</v>
      </c>
      <c r="L43" s="15">
        <v>9030</v>
      </c>
    </row>
    <row r="44" spans="1:12" ht="11.25">
      <c r="A44" s="1" t="s">
        <v>37</v>
      </c>
      <c r="C44" s="27">
        <f aca="true" t="shared" si="8" ref="C44:L44">C42/C13</f>
        <v>0.17535516891134298</v>
      </c>
      <c r="D44" s="27">
        <f t="shared" si="8"/>
        <v>0.19662943214105008</v>
      </c>
      <c r="E44" s="27">
        <f t="shared" si="8"/>
        <v>0.19037742644593203</v>
      </c>
      <c r="F44" s="27">
        <f t="shared" si="8"/>
        <v>0.17025217867216771</v>
      </c>
      <c r="G44" s="28">
        <f t="shared" si="8"/>
        <v>0.16969023986484186</v>
      </c>
      <c r="H44" s="29">
        <f t="shared" si="8"/>
        <v>0.299099376830423</v>
      </c>
      <c r="I44" s="29">
        <f t="shared" si="8"/>
        <v>0.2585753536394273</v>
      </c>
      <c r="J44" s="30">
        <f t="shared" si="8"/>
        <v>0.12166446288891367</v>
      </c>
      <c r="K44" s="27">
        <f t="shared" si="8"/>
        <v>0.058993686670111664</v>
      </c>
      <c r="L44" s="27">
        <f t="shared" si="8"/>
        <v>0.0369554175609916</v>
      </c>
    </row>
    <row r="45" spans="1:12" ht="11.25">
      <c r="A45" s="1" t="s">
        <v>38</v>
      </c>
      <c r="C45" s="27">
        <f aca="true" t="shared" si="9" ref="C45:L45">C43/C42</f>
        <v>0.3066160153458457</v>
      </c>
      <c r="D45" s="27">
        <f t="shared" si="9"/>
        <v>0.16194906307732912</v>
      </c>
      <c r="E45" s="27">
        <f t="shared" si="9"/>
        <v>0.1596320699328071</v>
      </c>
      <c r="F45" s="27">
        <f t="shared" si="9"/>
        <v>0.17274268757948283</v>
      </c>
      <c r="G45" s="28">
        <f t="shared" si="9"/>
        <v>0.19992773696254365</v>
      </c>
      <c r="H45" s="29">
        <f t="shared" si="9"/>
        <v>0.15707133917396746</v>
      </c>
      <c r="I45" s="29">
        <f t="shared" si="9"/>
        <v>0.21149735394832417</v>
      </c>
      <c r="J45" s="30">
        <f t="shared" si="9"/>
        <v>0.43005543188861245</v>
      </c>
      <c r="K45" s="27">
        <f t="shared" si="9"/>
        <v>0.937160811196801</v>
      </c>
      <c r="L45" s="27">
        <f t="shared" si="9"/>
        <v>1.0008867213478165</v>
      </c>
    </row>
    <row r="46" spans="1:12" ht="11.25">
      <c r="A46" s="19" t="s">
        <v>39</v>
      </c>
      <c r="B46" s="19"/>
      <c r="C46" s="31">
        <f aca="true" t="shared" si="10" ref="C46:L46">C43/C13</f>
        <v>0.053766703161893706</v>
      </c>
      <c r="D46" s="31">
        <f t="shared" si="10"/>
        <v>0.03184395230867033</v>
      </c>
      <c r="E46" s="31">
        <f t="shared" si="10"/>
        <v>0.03039034265204486</v>
      </c>
      <c r="F46" s="31">
        <f t="shared" si="10"/>
        <v>0.02940981891009256</v>
      </c>
      <c r="G46" s="32">
        <f t="shared" si="10"/>
        <v>0.033925785640809045</v>
      </c>
      <c r="H46" s="31">
        <f t="shared" si="10"/>
        <v>0.04697993966485368</v>
      </c>
      <c r="I46" s="31">
        <f t="shared" si="10"/>
        <v>0.05468800309099105</v>
      </c>
      <c r="J46" s="33">
        <f t="shared" si="10"/>
        <v>0.05232246313318783</v>
      </c>
      <c r="K46" s="31">
        <f t="shared" si="10"/>
        <v>0.05528657125525175</v>
      </c>
      <c r="L46" s="31">
        <f t="shared" si="10"/>
        <v>0.036988186718660394</v>
      </c>
    </row>
    <row r="47" spans="1:10" ht="11.25">
      <c r="A47" s="10" t="s">
        <v>40</v>
      </c>
      <c r="G47" s="23"/>
      <c r="H47" s="24"/>
      <c r="I47" s="24"/>
      <c r="J47" s="25"/>
    </row>
    <row r="48" spans="1:12" ht="11.25">
      <c r="A48" s="1" t="s">
        <v>41</v>
      </c>
      <c r="C48" s="27">
        <f aca="true" t="shared" si="11" ref="C48:L48">C25/(C13+C16)</f>
        <v>0.16005153866898392</v>
      </c>
      <c r="D48" s="27">
        <f t="shared" si="11"/>
        <v>0.17258414209188142</v>
      </c>
      <c r="E48" s="27">
        <f t="shared" si="11"/>
        <v>0.16808383834211565</v>
      </c>
      <c r="F48" s="29">
        <f t="shared" si="11"/>
        <v>0.1638493286054758</v>
      </c>
      <c r="G48" s="28">
        <f t="shared" si="11"/>
        <v>0.17661198823099555</v>
      </c>
      <c r="H48" s="29">
        <f t="shared" si="11"/>
        <v>0.15629725815846146</v>
      </c>
      <c r="I48" s="29">
        <f t="shared" si="11"/>
        <v>0.15051761454014445</v>
      </c>
      <c r="J48" s="30">
        <f t="shared" si="11"/>
        <v>0.14629182957755935</v>
      </c>
      <c r="K48" s="29">
        <f t="shared" si="11"/>
        <v>0.14851949383099713</v>
      </c>
      <c r="L48" s="29">
        <f t="shared" si="11"/>
        <v>0.1370172354865485</v>
      </c>
    </row>
    <row r="49" spans="1:12" ht="11.25">
      <c r="A49" s="19" t="s">
        <v>42</v>
      </c>
      <c r="B49" s="19"/>
      <c r="C49" s="31">
        <f>C25/C13</f>
        <v>0.17614663166642483</v>
      </c>
      <c r="D49" s="31">
        <f aca="true" t="shared" si="12" ref="D49:L49">D25/D11</f>
        <v>0.12899425378153537</v>
      </c>
      <c r="E49" s="31">
        <f t="shared" si="12"/>
        <v>0.12402631613321781</v>
      </c>
      <c r="F49" s="31">
        <f t="shared" si="12"/>
        <v>0.12005247264565205</v>
      </c>
      <c r="G49" s="32">
        <f t="shared" si="12"/>
        <v>0.13044219297415016</v>
      </c>
      <c r="H49" s="31">
        <f t="shared" si="12"/>
        <v>0.13982426954260363</v>
      </c>
      <c r="I49" s="31">
        <f t="shared" si="12"/>
        <v>0.13246343153768836</v>
      </c>
      <c r="J49" s="33">
        <f t="shared" si="12"/>
        <v>0.12626830007667755</v>
      </c>
      <c r="K49" s="31">
        <f t="shared" si="12"/>
        <v>0.12629524370285544</v>
      </c>
      <c r="L49" s="31">
        <f t="shared" si="12"/>
        <v>0.12357979566672539</v>
      </c>
    </row>
    <row r="50" spans="1:12" ht="11.25">
      <c r="A50" s="10" t="s">
        <v>43</v>
      </c>
      <c r="F50" s="34"/>
      <c r="G50" s="35"/>
      <c r="H50" s="36"/>
      <c r="I50" s="36"/>
      <c r="J50" s="37"/>
      <c r="K50" s="34"/>
      <c r="L50" s="34"/>
    </row>
    <row r="51" spans="1:12" ht="11.25">
      <c r="A51" s="1" t="s">
        <v>44</v>
      </c>
      <c r="C51" s="34">
        <f aca="true" t="shared" si="13" ref="C51:L51">C12/C17</f>
        <v>0.10817129084286257</v>
      </c>
      <c r="D51" s="34">
        <f t="shared" si="13"/>
        <v>0.11734188499826656</v>
      </c>
      <c r="E51" s="34">
        <f t="shared" si="13"/>
        <v>0.1242951660010729</v>
      </c>
      <c r="F51" s="34">
        <f t="shared" si="13"/>
        <v>0.11498384882270166</v>
      </c>
      <c r="G51" s="35">
        <f t="shared" si="13"/>
        <v>0.12816774467182696</v>
      </c>
      <c r="H51" s="36">
        <f t="shared" si="13"/>
        <v>0.04388786764705882</v>
      </c>
      <c r="I51" s="36">
        <f t="shared" si="13"/>
        <v>0.06976323390452958</v>
      </c>
      <c r="J51" s="37">
        <f t="shared" si="13"/>
        <v>0.04714616937373838</v>
      </c>
      <c r="K51" s="34">
        <f t="shared" si="13"/>
        <v>0.09761076316399907</v>
      </c>
      <c r="L51" s="34">
        <f t="shared" si="13"/>
        <v>0.06153670575480042</v>
      </c>
    </row>
    <row r="52" spans="1:12" ht="11.25">
      <c r="A52" s="1" t="s">
        <v>45</v>
      </c>
      <c r="C52" s="34">
        <f aca="true" t="shared" si="14" ref="C52:L52">C12/C11</f>
        <v>0.08206164590722868</v>
      </c>
      <c r="D52" s="34">
        <f t="shared" si="14"/>
        <v>0.08555681443731747</v>
      </c>
      <c r="E52" s="34">
        <f t="shared" si="14"/>
        <v>0.09079588451205865</v>
      </c>
      <c r="F52" s="34">
        <f t="shared" si="14"/>
        <v>0.08596228954508091</v>
      </c>
      <c r="G52" s="35">
        <f t="shared" si="14"/>
        <v>0.09156329893002557</v>
      </c>
      <c r="H52" s="36">
        <f t="shared" si="14"/>
        <v>0.031957511090714395</v>
      </c>
      <c r="I52" s="36">
        <f t="shared" si="14"/>
        <v>0.04777881301089137</v>
      </c>
      <c r="J52" s="37">
        <f t="shared" si="14"/>
        <v>0.03363112751653917</v>
      </c>
      <c r="K52" s="34">
        <f t="shared" si="14"/>
        <v>0.06828223447214328</v>
      </c>
      <c r="L52" s="34">
        <f t="shared" si="14"/>
        <v>0.039574892842463745</v>
      </c>
    </row>
    <row r="53" spans="1:12" ht="11.25">
      <c r="A53" s="19" t="s">
        <v>46</v>
      </c>
      <c r="B53" s="19"/>
      <c r="C53" s="38">
        <f aca="true" t="shared" si="15" ref="C53:L53">(C12+C16)/C17</f>
        <v>0.20027424898666812</v>
      </c>
      <c r="D53" s="38">
        <f t="shared" si="15"/>
        <v>0.18807265613392105</v>
      </c>
      <c r="E53" s="38">
        <f t="shared" si="15"/>
        <v>0.17454848900280145</v>
      </c>
      <c r="F53" s="38">
        <f t="shared" si="15"/>
        <v>0.14779324214232406</v>
      </c>
      <c r="G53" s="39">
        <f t="shared" si="15"/>
        <v>0.18921641395398156</v>
      </c>
      <c r="H53" s="38">
        <f t="shared" si="15"/>
        <v>0.07989758403361344</v>
      </c>
      <c r="I53" s="38">
        <f t="shared" si="15"/>
        <v>0.10593155027174823</v>
      </c>
      <c r="J53" s="40">
        <f t="shared" si="15"/>
        <v>0.08026847818614738</v>
      </c>
      <c r="K53" s="38">
        <f t="shared" si="15"/>
        <v>0.1332736852569838</v>
      </c>
      <c r="L53" s="38">
        <f t="shared" si="15"/>
        <v>0.07089503266854974</v>
      </c>
    </row>
    <row r="54" spans="1:10" ht="11.25">
      <c r="A54" s="10" t="s">
        <v>47</v>
      </c>
      <c r="G54" s="23"/>
      <c r="H54" s="24"/>
      <c r="I54" s="24"/>
      <c r="J54" s="25"/>
    </row>
    <row r="55" spans="1:12" ht="11.25">
      <c r="A55" s="1" t="s">
        <v>48</v>
      </c>
      <c r="B55" s="24"/>
      <c r="C55" s="41">
        <f>C40/C28</f>
        <v>-0.005661756507303294</v>
      </c>
      <c r="D55" s="41">
        <f>(D40/0.75)/D28</f>
        <v>0.0072276404324487795</v>
      </c>
      <c r="E55" s="27">
        <f>(E40/0.5)/E28</f>
        <v>0.009567735469832288</v>
      </c>
      <c r="F55" s="27">
        <f>((F40)/0.25)/F28</f>
        <v>0.012383663846976423</v>
      </c>
      <c r="G55" s="42">
        <f>G40/G28</f>
        <v>-0.0007895822285074539</v>
      </c>
      <c r="H55" s="41">
        <f>(H40/0.75)/H28</f>
        <v>0.009923289732442586</v>
      </c>
      <c r="I55" s="41">
        <f>(I40/0.5)/I28</f>
        <v>0.010824553187268</v>
      </c>
      <c r="J55" s="30">
        <f>((J40)/0.25)/J28</f>
        <v>0.01504987109638219</v>
      </c>
      <c r="K55" s="27">
        <f>K40/K28</f>
        <v>0.0038863996980351314</v>
      </c>
      <c r="L55" s="27">
        <f>L40/L28</f>
        <v>0.017048115515754733</v>
      </c>
    </row>
    <row r="56" spans="1:12" ht="11.25">
      <c r="A56" s="1" t="s">
        <v>49</v>
      </c>
      <c r="B56" s="24"/>
      <c r="C56" s="41">
        <f>C40/C27</f>
        <v>-0.004256765882533754</v>
      </c>
      <c r="D56" s="41">
        <f>(D40/0.75)/D27</f>
        <v>0.005918757927598918</v>
      </c>
      <c r="E56" s="27">
        <f>(E40/0.5)/E27</f>
        <v>0.007722076738137585</v>
      </c>
      <c r="F56" s="27">
        <f>((F40)/0.25)/F27</f>
        <v>0.009862667581490073</v>
      </c>
      <c r="G56" s="42">
        <f>G40/G27</f>
        <v>-0.000627762565206494</v>
      </c>
      <c r="H56" s="41">
        <f>(H40/0.75)/H27</f>
        <v>0.008847866789506532</v>
      </c>
      <c r="I56" s="41">
        <f>(I40/0.5)/I27</f>
        <v>0.00967759899841388</v>
      </c>
      <c r="J56" s="30">
        <f>((J40)/0.25)/J27</f>
        <v>0.01316792933103941</v>
      </c>
      <c r="K56" s="27">
        <f>K40/K27</f>
        <v>0.003416709512094701</v>
      </c>
      <c r="L56" s="27">
        <f>L40/L27</f>
        <v>0.014972505559431621</v>
      </c>
    </row>
    <row r="57" spans="1:12" ht="11.25">
      <c r="A57" s="1" t="s">
        <v>50</v>
      </c>
      <c r="B57" s="24"/>
      <c r="C57" s="41">
        <f>+C40/C31</f>
        <v>-0.03369026336644612</v>
      </c>
      <c r="D57" s="41">
        <f>(D40/0.75)/D31</f>
        <v>0.04408628183400777</v>
      </c>
      <c r="E57" s="27">
        <f>(E40/0.5)/E31</f>
        <v>0.06026575524012137</v>
      </c>
      <c r="F57" s="27">
        <f>((F40)/0.25)/F31</f>
        <v>0.08012599316947143</v>
      </c>
      <c r="G57" s="42">
        <f>+G40/G31</f>
        <v>-0.0048911357290164804</v>
      </c>
      <c r="H57" s="41">
        <f>(H40/0.75)/H31</f>
        <v>0.0684692972369156</v>
      </c>
      <c r="I57" s="41">
        <f>(I40/0.5)/I31</f>
        <v>0.07839991979547847</v>
      </c>
      <c r="J57" s="30">
        <f>((J40)/0.25)/J31</f>
        <v>0.11140809343025929</v>
      </c>
      <c r="K57" s="27">
        <f>K40/K31</f>
        <v>0.027381968612515597</v>
      </c>
      <c r="L57" s="27">
        <f>L40/L31</f>
        <v>0.12276222894604136</v>
      </c>
    </row>
    <row r="58" spans="1:12" ht="11.25">
      <c r="A58" s="1" t="s">
        <v>51</v>
      </c>
      <c r="B58" s="24"/>
      <c r="C58" s="41">
        <f>C33/C28</f>
        <v>0.0870324714744106</v>
      </c>
      <c r="D58" s="41">
        <f>(D33/0.75)/D28</f>
        <v>0.08246767974597415</v>
      </c>
      <c r="E58" s="27">
        <f>(E33/0.5)/E28</f>
        <v>0.08404989839817947</v>
      </c>
      <c r="F58" s="27">
        <f>((F33)/0.25)/F28</f>
        <v>0.08631369942813072</v>
      </c>
      <c r="G58" s="42">
        <f>G33/G28</f>
        <v>0.09300571563254964</v>
      </c>
      <c r="H58" s="41">
        <f>(H33/0.75)/H28</f>
        <v>0.07815463634444544</v>
      </c>
      <c r="I58" s="41">
        <f>(I33/0.5)/I28</f>
        <v>0.07579955659012733</v>
      </c>
      <c r="J58" s="30">
        <f>((J33)/0.25)/J28</f>
        <v>0.07780672966577051</v>
      </c>
      <c r="K58" s="27">
        <f>K33/K28</f>
        <v>0.09313845415423042</v>
      </c>
      <c r="L58" s="27">
        <f>L33/L27</f>
        <v>0.0807631172795015</v>
      </c>
    </row>
    <row r="59" spans="1:12" ht="11.25">
      <c r="A59" s="1" t="s">
        <v>52</v>
      </c>
      <c r="B59" s="24"/>
      <c r="C59" s="41">
        <f>C34/C28</f>
        <v>0.06876494418771759</v>
      </c>
      <c r="D59" s="41">
        <f>(D34/0.75)/D28</f>
        <v>0.060845240795342856</v>
      </c>
      <c r="E59" s="27">
        <f>(E34/0.5)/E28</f>
        <v>0.06291007546772827</v>
      </c>
      <c r="F59" s="27">
        <f>((F34)/0.25)/F28</f>
        <v>0.06255281791255404</v>
      </c>
      <c r="G59" s="42">
        <f>G34/G28</f>
        <v>0.0691414766366154</v>
      </c>
      <c r="H59" s="41">
        <f>(H34/0.75)/H28</f>
        <v>0.05625737064566459</v>
      </c>
      <c r="I59" s="41">
        <f>(I34/0.5)/I28</f>
        <v>0.05495329431387974</v>
      </c>
      <c r="J59" s="30">
        <f>((J34)/0.25)/J28</f>
        <v>0.052600955335643865</v>
      </c>
      <c r="K59" s="27">
        <f>K34/K28</f>
        <v>0.0658963766545741</v>
      </c>
      <c r="L59" s="27">
        <f>L34/L27</f>
        <v>0.05495428484663272</v>
      </c>
    </row>
    <row r="60" spans="1:12" ht="11.25">
      <c r="A60" s="1" t="s">
        <v>53</v>
      </c>
      <c r="B60" s="24"/>
      <c r="C60" s="41">
        <f>C35/C28</f>
        <v>0.018267527286693015</v>
      </c>
      <c r="D60" s="41">
        <f>(D35/0.75)/D28</f>
        <v>0.021622438950631286</v>
      </c>
      <c r="E60" s="27">
        <f>(E35/0.5)/E28</f>
        <v>0.0211398229304512</v>
      </c>
      <c r="F60" s="27">
        <f>((F35)/0.25)/F28</f>
        <v>0.02376088151557667</v>
      </c>
      <c r="G60" s="42">
        <f>G35/G28</f>
        <v>0.02386423899593424</v>
      </c>
      <c r="H60" s="41">
        <f>(H35/0.75)/H28</f>
        <v>0.02189726569878086</v>
      </c>
      <c r="I60" s="41">
        <f>(I35/0.5)/I28</f>
        <v>0.02084626227624758</v>
      </c>
      <c r="J60" s="30">
        <f>((J35)/0.25)/J28</f>
        <v>0.02520577433012665</v>
      </c>
      <c r="K60" s="27">
        <f>K35/K28</f>
        <v>0.02724207749965633</v>
      </c>
      <c r="L60" s="27">
        <f>L35/L27</f>
        <v>0.025808832432868783</v>
      </c>
    </row>
    <row r="61" spans="1:12" ht="11.25">
      <c r="A61" s="1" t="s">
        <v>54</v>
      </c>
      <c r="B61" s="24"/>
      <c r="C61" s="41">
        <f>C38/C37</f>
        <v>0.5348467322151532</v>
      </c>
      <c r="D61" s="41">
        <f>(D38/0.75)/(D37/0.75)</f>
        <v>0.7592545958196927</v>
      </c>
      <c r="E61" s="27">
        <f>(E38/0.5)/(E37/0.5)</f>
        <v>0.6689628779181018</v>
      </c>
      <c r="F61" s="27">
        <f>(F38/0.25)/(F37/0.25)</f>
        <v>0.6048780487804878</v>
      </c>
      <c r="G61" s="42">
        <f>G38/G37</f>
        <v>0.4033874523952696</v>
      </c>
      <c r="H61" s="41">
        <f>(H38/0.75)/(H37/0.75)</f>
        <v>0.640110522680175</v>
      </c>
      <c r="I61" s="41">
        <f>(I38/0.5)/(I37/0.5)</f>
        <v>0.5935550935550935</v>
      </c>
      <c r="J61" s="30">
        <f>(J38/0.25)/(J37/0.25)</f>
        <v>0.48553459119496856</v>
      </c>
      <c r="K61" s="27">
        <f>K38/K37</f>
        <v>0.8920528086979032</v>
      </c>
      <c r="L61" s="27">
        <f>L38/L37</f>
        <v>0.5001924804311562</v>
      </c>
    </row>
    <row r="62" spans="1:12" ht="11.25">
      <c r="A62" s="19" t="s">
        <v>55</v>
      </c>
      <c r="B62" s="19"/>
      <c r="C62" s="43">
        <f>C36/C28</f>
        <v>0.02457350991736561</v>
      </c>
      <c r="D62" s="43">
        <f>(D36/0.75)/D28</f>
        <v>0.008399485900052921</v>
      </c>
      <c r="E62" s="31">
        <f>(E36/0.5)/E28</f>
        <v>0.007795932605048531</v>
      </c>
      <c r="F62" s="31">
        <f>(F36/0.25)/F28</f>
        <v>0.00763586339681055</v>
      </c>
      <c r="G62" s="44">
        <f>G36/G28</f>
        <v>0.034930175004419306</v>
      </c>
      <c r="H62" s="43">
        <f>(H36/0.75)/H28</f>
        <v>0.00567589316750075</v>
      </c>
      <c r="I62" s="43">
        <f>(I36/0.5)/I28</f>
        <v>0.005786014363526885</v>
      </c>
      <c r="J62" s="33">
        <f>(J36/0.25)/J28</f>
        <v>0.004047642593159024</v>
      </c>
      <c r="K62" s="31">
        <f>K36/K28</f>
        <v>0.008760709151446099</v>
      </c>
      <c r="L62" s="31">
        <f>L36/L27</f>
        <v>0.004147710782702624</v>
      </c>
    </row>
    <row r="63" spans="1:10" ht="11.25">
      <c r="A63" s="10" t="s">
        <v>56</v>
      </c>
      <c r="G63" s="23"/>
      <c r="H63" s="24"/>
      <c r="I63" s="24"/>
      <c r="J63" s="25"/>
    </row>
    <row r="64" spans="1:12" ht="11.25">
      <c r="A64" s="1" t="s">
        <v>57</v>
      </c>
      <c r="C64" s="1">
        <v>72</v>
      </c>
      <c r="D64" s="15">
        <v>76</v>
      </c>
      <c r="E64" s="15">
        <v>78</v>
      </c>
      <c r="F64" s="15">
        <v>78</v>
      </c>
      <c r="G64" s="16">
        <v>79</v>
      </c>
      <c r="H64" s="17">
        <v>79</v>
      </c>
      <c r="I64" s="17">
        <v>83</v>
      </c>
      <c r="J64" s="18">
        <v>85</v>
      </c>
      <c r="K64" s="15">
        <v>84</v>
      </c>
      <c r="L64" s="15">
        <v>85</v>
      </c>
    </row>
    <row r="65" spans="1:12" ht="11.25">
      <c r="A65" s="1" t="s">
        <v>58</v>
      </c>
      <c r="C65" s="1">
        <v>3</v>
      </c>
      <c r="D65" s="15">
        <v>3</v>
      </c>
      <c r="E65" s="15">
        <v>3</v>
      </c>
      <c r="F65" s="15">
        <v>3</v>
      </c>
      <c r="G65" s="16">
        <v>3</v>
      </c>
      <c r="H65" s="17">
        <v>3</v>
      </c>
      <c r="I65" s="17">
        <v>3</v>
      </c>
      <c r="J65" s="18">
        <v>3</v>
      </c>
      <c r="K65" s="15">
        <v>3</v>
      </c>
      <c r="L65" s="15">
        <v>3</v>
      </c>
    </row>
    <row r="66" spans="1:12" ht="11.25">
      <c r="A66" s="1" t="s">
        <v>59</v>
      </c>
      <c r="C66" s="15">
        <f aca="true" t="shared" si="16" ref="C66:L66">C13/C64</f>
        <v>2105.8055555555557</v>
      </c>
      <c r="D66" s="15">
        <f t="shared" si="16"/>
        <v>2028.3947368421052</v>
      </c>
      <c r="E66" s="15">
        <f t="shared" si="16"/>
        <v>2064.5897435897436</v>
      </c>
      <c r="F66" s="15">
        <f t="shared" si="16"/>
        <v>2131.6794871794873</v>
      </c>
      <c r="G66" s="16">
        <f t="shared" si="16"/>
        <v>1858.113924050633</v>
      </c>
      <c r="H66" s="17">
        <f t="shared" si="16"/>
        <v>2299.3924050632913</v>
      </c>
      <c r="I66" s="17">
        <f t="shared" si="16"/>
        <v>2245.156626506024</v>
      </c>
      <c r="J66" s="18">
        <f t="shared" si="16"/>
        <v>2215.4470588235295</v>
      </c>
      <c r="K66" s="15">
        <f t="shared" si="16"/>
        <v>2119.4761904761904</v>
      </c>
      <c r="L66" s="15">
        <f t="shared" si="16"/>
        <v>2872.141176470588</v>
      </c>
    </row>
    <row r="67" spans="1:12" ht="11.25">
      <c r="A67" s="1" t="s">
        <v>60</v>
      </c>
      <c r="C67" s="15">
        <f aca="true" t="shared" si="17" ref="C67:L67">C17/C64</f>
        <v>2299.2083333333335</v>
      </c>
      <c r="D67" s="15">
        <f t="shared" si="17"/>
        <v>2125.3684210526317</v>
      </c>
      <c r="E67" s="15">
        <f t="shared" si="17"/>
        <v>2150.897435897436</v>
      </c>
      <c r="F67" s="15">
        <f t="shared" si="17"/>
        <v>2250.371794871795</v>
      </c>
      <c r="G67" s="16">
        <f t="shared" si="17"/>
        <v>1910.0759493670887</v>
      </c>
      <c r="H67" s="17">
        <f t="shared" si="17"/>
        <v>1928.1012658227849</v>
      </c>
      <c r="I67" s="17">
        <f t="shared" si="17"/>
        <v>1797.8192771084337</v>
      </c>
      <c r="J67" s="18">
        <f t="shared" si="17"/>
        <v>1882.5058823529412</v>
      </c>
      <c r="K67" s="15">
        <f t="shared" si="17"/>
        <v>1796.25</v>
      </c>
      <c r="L67" s="15">
        <f t="shared" si="17"/>
        <v>2061.705882352941</v>
      </c>
    </row>
    <row r="68" spans="1:12" ht="11.25">
      <c r="A68" s="19" t="s">
        <v>61</v>
      </c>
      <c r="B68" s="19"/>
      <c r="C68" s="48">
        <f aca="true" t="shared" si="18" ref="C68:L68">(C40/C64)</f>
        <v>-12.694444444444445</v>
      </c>
      <c r="D68" s="20">
        <f t="shared" si="18"/>
        <v>12.578947368421053</v>
      </c>
      <c r="E68" s="20">
        <f t="shared" si="18"/>
        <v>11.076923076923077</v>
      </c>
      <c r="F68" s="20">
        <f t="shared" si="18"/>
        <v>7.256410256410256</v>
      </c>
      <c r="G68" s="46">
        <f t="shared" si="18"/>
        <v>-1.6962025316455696</v>
      </c>
      <c r="H68" s="20">
        <f t="shared" si="18"/>
        <v>19.78481012658228</v>
      </c>
      <c r="I68" s="20">
        <f t="shared" si="18"/>
        <v>14.132530120481928</v>
      </c>
      <c r="J68" s="22">
        <f t="shared" si="18"/>
        <v>9.623529411764705</v>
      </c>
      <c r="K68" s="20">
        <f t="shared" si="18"/>
        <v>9.928571428571429</v>
      </c>
      <c r="L68" s="20">
        <f t="shared" si="18"/>
        <v>45.8235294117647</v>
      </c>
    </row>
    <row r="69" spans="1:10" ht="11.25">
      <c r="A69" s="10" t="s">
        <v>62</v>
      </c>
      <c r="G69" s="23"/>
      <c r="H69" s="24"/>
      <c r="I69" s="24"/>
      <c r="J69" s="25"/>
    </row>
    <row r="70" spans="1:12" ht="11.25">
      <c r="A70" s="1" t="s">
        <v>63</v>
      </c>
      <c r="C70" s="27">
        <f>(C11/G11)-1</f>
        <v>0.03311239465959659</v>
      </c>
      <c r="D70" s="27">
        <f>(D11/H11)-1</f>
        <v>0.059053273672938555</v>
      </c>
      <c r="E70" s="27">
        <f>(E11/I11)-1</f>
        <v>0.05411260378466953</v>
      </c>
      <c r="F70" s="27">
        <f>(F11/J11)-1</f>
        <v>0.04668860001069919</v>
      </c>
      <c r="G70" s="28">
        <f>(G11/K11)-1</f>
        <v>-0.02073780790289903</v>
      </c>
      <c r="H70" s="29">
        <f>(H11/261890)-1</f>
        <v>-0.201252434228111</v>
      </c>
      <c r="I70" s="29">
        <f>(I11/266952)-1</f>
        <v>-0.1838270550510953</v>
      </c>
      <c r="J70" s="30">
        <f>(J11/272649)-1</f>
        <v>-0.17727187702870728</v>
      </c>
      <c r="K70" s="27">
        <f>(K11/L11)-1</f>
        <v>-0.20845443602841873</v>
      </c>
      <c r="L70" s="27">
        <f>(L11/247790)-1</f>
        <v>0.0997053956979701</v>
      </c>
    </row>
    <row r="71" spans="1:12" ht="11.25">
      <c r="A71" s="1" t="s">
        <v>64</v>
      </c>
      <c r="C71" s="27">
        <f aca="true" t="shared" si="19" ref="C71:E73">(C13/G13)-1</f>
        <v>0.0328834874072661</v>
      </c>
      <c r="D71" s="27">
        <f t="shared" si="19"/>
        <v>-0.15135533877964458</v>
      </c>
      <c r="E71" s="27">
        <f t="shared" si="19"/>
        <v>-0.1358211518234701</v>
      </c>
      <c r="F71" s="27">
        <f>F13/J13-1</f>
        <v>-0.11704980537721776</v>
      </c>
      <c r="G71" s="28">
        <f>G13/K13-1</f>
        <v>-0.17549821384439102</v>
      </c>
      <c r="H71" s="29">
        <f>(H13/221114)-1</f>
        <v>-0.1784690250278137</v>
      </c>
      <c r="I71" s="29">
        <f>I13/240257-1</f>
        <v>-0.22438055915124222</v>
      </c>
      <c r="J71" s="30">
        <f>J13/239669-1</f>
        <v>-0.2142788595938565</v>
      </c>
      <c r="K71" s="27">
        <f>(K13/L13)-1</f>
        <v>-0.2707387806596432</v>
      </c>
      <c r="L71" s="27">
        <f>L13/208990-1</f>
        <v>0.1681515862002967</v>
      </c>
    </row>
    <row r="72" spans="2:12" ht="11.25">
      <c r="B72" s="1" t="s">
        <v>15</v>
      </c>
      <c r="C72" s="27">
        <f t="shared" si="19"/>
        <v>-0.10097714216290332</v>
      </c>
      <c r="D72" s="27">
        <f t="shared" si="19"/>
        <v>-0.06464974513498722</v>
      </c>
      <c r="E72" s="27">
        <f t="shared" si="19"/>
        <v>-0.01153422542906446</v>
      </c>
      <c r="F72" s="27">
        <f>(F14/J14)-1</f>
        <v>0.004801617386909207</v>
      </c>
      <c r="G72" s="28">
        <f>(G14/K14)-1</f>
        <v>0.13340087143826662</v>
      </c>
      <c r="H72" s="29">
        <f>(H14/103292)-1</f>
        <v>0.11488789064012694</v>
      </c>
      <c r="I72" s="29">
        <f>(I14/117655)-1</f>
        <v>-0.019939654073350077</v>
      </c>
      <c r="J72" s="30">
        <f>(J14/115943)-1</f>
        <v>-0.01026366404181367</v>
      </c>
      <c r="K72" s="27">
        <f>(K14/L14)-1</f>
        <v>-0.06262907508482074</v>
      </c>
      <c r="L72" s="27">
        <f>(L14/81126)-1</f>
        <v>0.3369819786504944</v>
      </c>
    </row>
    <row r="73" spans="2:12" ht="11.25">
      <c r="B73" s="1" t="s">
        <v>16</v>
      </c>
      <c r="C73" s="27">
        <f t="shared" si="19"/>
        <v>0.5216909085147512</v>
      </c>
      <c r="D73" s="27">
        <f t="shared" si="19"/>
        <v>-0.30152046080038497</v>
      </c>
      <c r="E73" s="27">
        <f t="shared" si="19"/>
        <v>-0.3375610580103887</v>
      </c>
      <c r="F73" s="27">
        <f>(F15/J15)-1</f>
        <v>-0.30713703099510603</v>
      </c>
      <c r="G73" s="28">
        <f>(G15/K15)-1</f>
        <v>-0.586760950697309</v>
      </c>
      <c r="H73" s="29">
        <f>(H15/117822)-1</f>
        <v>-0.4356486903973791</v>
      </c>
      <c r="I73" s="29">
        <f>(I15/122602)-1</f>
        <v>-0.42057225820133437</v>
      </c>
      <c r="J73" s="30">
        <f>(J15/123725)-1</f>
        <v>-0.40545564760557684</v>
      </c>
      <c r="K73" s="27">
        <f>(K15/L14)-1</f>
        <v>-0.29594151054727835</v>
      </c>
      <c r="L73" s="27">
        <f>(L15/127865)-1</f>
        <v>0.06102530012122154</v>
      </c>
    </row>
    <row r="74" spans="1:12" ht="11.25">
      <c r="A74" s="1" t="s">
        <v>65</v>
      </c>
      <c r="C74" s="27">
        <f aca="true" t="shared" si="20" ref="C74:G75">(C17/G17)-1</f>
        <v>0.09706685399215353</v>
      </c>
      <c r="D74" s="27">
        <f t="shared" si="20"/>
        <v>0.060451680672268804</v>
      </c>
      <c r="E74" s="27">
        <f t="shared" si="20"/>
        <v>0.12432062941046373</v>
      </c>
      <c r="F74" s="27">
        <f t="shared" si="20"/>
        <v>0.09696712142138453</v>
      </c>
      <c r="G74" s="28">
        <f t="shared" si="20"/>
        <v>7.290320442732146E-05</v>
      </c>
      <c r="H74" s="29">
        <f>H17/169526-1</f>
        <v>-0.10149475596663637</v>
      </c>
      <c r="I74" s="29">
        <f>I17/179167-1</f>
        <v>-0.1671513169277825</v>
      </c>
      <c r="J74" s="30">
        <f>J17/183066-1</f>
        <v>-0.1259272612063409</v>
      </c>
      <c r="K74" s="27">
        <f>(K17/L17)-1</f>
        <v>-0.1390053924505692</v>
      </c>
      <c r="L74" s="27">
        <f>L17/158167-1</f>
        <v>0.10797448266705434</v>
      </c>
    </row>
    <row r="75" spans="2:12" ht="11.25">
      <c r="B75" s="1" t="s">
        <v>15</v>
      </c>
      <c r="C75" s="27">
        <f t="shared" si="20"/>
        <v>0.5960100376411543</v>
      </c>
      <c r="D75" s="27">
        <f t="shared" si="20"/>
        <v>0.12503487988635498</v>
      </c>
      <c r="E75" s="27">
        <f t="shared" si="20"/>
        <v>0.17608136257811546</v>
      </c>
      <c r="F75" s="27">
        <f t="shared" si="20"/>
        <v>-0.01578981709041083</v>
      </c>
      <c r="G75" s="28">
        <f t="shared" si="20"/>
        <v>-0.03260262665986935</v>
      </c>
      <c r="H75" s="29">
        <f>(H18/37427)-1</f>
        <v>0.05327704598284666</v>
      </c>
      <c r="I75" s="29">
        <f>(I18/39500)-1</f>
        <v>0.0330379746835443</v>
      </c>
      <c r="J75" s="30">
        <f>(J18/49292)-1</f>
        <v>-0.0672117179258297</v>
      </c>
      <c r="K75" s="27">
        <f>(K18/L18)-1</f>
        <v>-0.21051421124250147</v>
      </c>
      <c r="L75" s="27">
        <f>(L18/47934)-1</f>
        <v>0.08851754495765007</v>
      </c>
    </row>
    <row r="76" spans="2:12" ht="11.25">
      <c r="B76" s="1" t="s">
        <v>16</v>
      </c>
      <c r="C76" s="27">
        <f>(C22/G22)-1</f>
        <v>-0.08198404264899228</v>
      </c>
      <c r="D76" s="27">
        <f>(D22/H22)-1</f>
        <v>0.037901132870973075</v>
      </c>
      <c r="E76" s="27">
        <f>(E22/I22)-1</f>
        <v>0.10483885845001573</v>
      </c>
      <c r="F76" s="27">
        <f>(F22/J22)-1</f>
        <v>0.14243120472841442</v>
      </c>
      <c r="G76" s="28">
        <f>(G22/K22)-1</f>
        <v>0.012343653137876887</v>
      </c>
      <c r="H76" s="29">
        <f>(H22/132100)-1</f>
        <v>-0.14535200605601817</v>
      </c>
      <c r="I76" s="29">
        <f>(I22/139667)-1</f>
        <v>-0.22376796236763163</v>
      </c>
      <c r="J76" s="30">
        <f>(J22/133774)-1</f>
        <v>-0.14756230657676384</v>
      </c>
      <c r="K76" s="27">
        <f>(K22/L22)-1</f>
        <v>-0.1086878798712907</v>
      </c>
      <c r="L76" s="27">
        <f>(L22/110233)-1</f>
        <v>0.11643518728511415</v>
      </c>
    </row>
    <row r="77" spans="1:12" ht="11.25">
      <c r="A77" s="1" t="s">
        <v>66</v>
      </c>
      <c r="C77" s="27">
        <f>(C25/G25)-1</f>
        <v>-0.03066927990708479</v>
      </c>
      <c r="D77" s="27">
        <f>(D25/H25)-1</f>
        <v>-0.022975144449382867</v>
      </c>
      <c r="E77" s="27">
        <f>(E25/I25)-1</f>
        <v>-0.01302796160909181</v>
      </c>
      <c r="F77" s="27">
        <f>(F25/J25)-1</f>
        <v>-0.004836887445276106</v>
      </c>
      <c r="G77" s="28">
        <f>(G25/K25)-1</f>
        <v>0.011416614661723168</v>
      </c>
      <c r="H77" s="29">
        <f>(H25/31625)-1</f>
        <v>-0.07513043478260872</v>
      </c>
      <c r="I77" s="29">
        <f>(I25/30985)-1</f>
        <v>-0.06854929804744236</v>
      </c>
      <c r="J77" s="30">
        <f>(J25/30415)-1</f>
        <v>-0.06874897254644086</v>
      </c>
      <c r="K77" s="27">
        <f>(K25/L25)-1</f>
        <v>-0.19106161841128433</v>
      </c>
      <c r="L77" s="27">
        <f>(L25/29781)-1</f>
        <v>0.13075450790772636</v>
      </c>
    </row>
    <row r="78" spans="1:12" ht="11.25">
      <c r="A78" s="19" t="s">
        <v>67</v>
      </c>
      <c r="B78" s="19"/>
      <c r="C78" s="31">
        <f>(C40/G40)-1</f>
        <v>5.82089552238806</v>
      </c>
      <c r="D78" s="31">
        <f>(D40/H40)-1</f>
        <v>-0.38835572616762637</v>
      </c>
      <c r="E78" s="31">
        <f>(E40/I40)-1</f>
        <v>-0.26342710997442453</v>
      </c>
      <c r="F78" s="31">
        <f>(F40/J40)-1</f>
        <v>-0.3080684596577017</v>
      </c>
      <c r="G78" s="32">
        <f>(G40/K40)-1</f>
        <v>-1.160671462829736</v>
      </c>
      <c r="H78" s="31">
        <f>(H40/1725)-1</f>
        <v>-0.0939130434782609</v>
      </c>
      <c r="I78" s="31">
        <f>(I40/1087)-1</f>
        <v>0.07911683532658698</v>
      </c>
      <c r="J78" s="33">
        <f>(J40/518)-1</f>
        <v>0.5791505791505791</v>
      </c>
      <c r="K78" s="31">
        <f>(K40/L40)-1</f>
        <v>-0.7858793324775353</v>
      </c>
      <c r="L78" s="31">
        <f>(L40/4678)-1</f>
        <v>-0.16737922188969645</v>
      </c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portrait" r:id="rId3"/>
  <legacyDrawing r:id="rId2"/>
  <oleObjects>
    <oleObject progId="MSPhotoEd.3" shapeId="39906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2002-03-19T20:09:52Z</dcterms:created>
  <dcterms:modified xsi:type="dcterms:W3CDTF">2002-04-01T21:07:07Z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