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BN Amr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<sst xmlns="http://schemas.openxmlformats.org/spreadsheetml/2006/main" count="84" uniqueCount="68">
  <si>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18-22</t>
  </si>
  <si>
    <t>ABN A M R O BANK, N.V.</t>
  </si>
  <si>
    <t>ESTADISTICA FINANCIERA. AÑO 1999, TRIMESTRES DE 2000 Y 2001</t>
  </si>
  <si>
    <t>(En miles de balboas)</t>
  </si>
  <si>
    <t>Año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</si>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</sst>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9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_(* #,##0.0000_);_(* \(#,##0.0000\);_(* &quot;-&quot;??_);_(@_)"/>
    <numFmt numFmtId="191" formatCode="0.00000"/>
    <numFmt numFmtId="192" formatCode="0.0000"/>
    <numFmt numFmtId="193" formatCode="0.000"/>
    <numFmt numFmtId="19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2" fillId="0" borderId="0" xfId="15" applyNumberFormat="1" applyFont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7" xfId="15" applyNumberFormat="1" applyFont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89" fontId="2" fillId="0" borderId="6" xfId="19" applyNumberFormat="1" applyFont="1" applyBorder="1" applyAlignment="1">
      <alignment/>
    </xf>
    <xf numFmtId="189" fontId="2" fillId="0" borderId="0" xfId="19" applyNumberFormat="1" applyFont="1" applyBorder="1" applyAlignment="1">
      <alignment/>
    </xf>
    <xf numFmtId="189" fontId="2" fillId="0" borderId="7" xfId="19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1" xfId="19" applyNumberFormat="1" applyFont="1" applyBorder="1" applyAlignment="1">
      <alignment/>
    </xf>
    <xf numFmtId="189" fontId="2" fillId="0" borderId="4" xfId="19" applyNumberFormat="1" applyFont="1" applyBorder="1" applyAlignment="1">
      <alignment/>
    </xf>
    <xf numFmtId="189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3" width="8.8515625" style="1" customWidth="1"/>
    <col min="4" max="4" width="8.7109375" style="1" bestFit="1" customWidth="1"/>
    <col min="5" max="6" width="7.7109375" style="1" bestFit="1" customWidth="1"/>
    <col min="7" max="7" width="8.00390625" style="1" bestFit="1" customWidth="1"/>
    <col min="8" max="10" width="8.8515625" style="1" bestFit="1" customWidth="1"/>
    <col min="11" max="11" width="8.0039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44"/>
      <c r="C5" s="44"/>
      <c r="D5" s="44"/>
      <c r="E5" s="44"/>
      <c r="F5" s="44"/>
      <c r="G5" s="44" t="s">
        <v>3</v>
      </c>
      <c r="H5" s="44"/>
      <c r="I5" s="44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9"/>
      <c r="G10" s="10"/>
      <c r="H10" s="11"/>
      <c r="I10" s="11"/>
      <c r="J10" s="12"/>
      <c r="K10" s="13"/>
      <c r="L10" s="13"/>
    </row>
    <row r="11" spans="1:12" ht="11.25">
      <c r="A11" s="1" t="s">
        <v>12</v>
      </c>
      <c r="C11" s="14">
        <v>22260</v>
      </c>
      <c r="D11" s="14">
        <v>22925</v>
      </c>
      <c r="E11" s="14">
        <v>434186</v>
      </c>
      <c r="F11" s="14">
        <v>262180</v>
      </c>
      <c r="G11" s="15">
        <v>386062</v>
      </c>
      <c r="H11" s="16">
        <v>954067</v>
      </c>
      <c r="I11" s="16">
        <v>217117</v>
      </c>
      <c r="J11" s="17">
        <v>280132</v>
      </c>
      <c r="K11" s="14">
        <v>263569</v>
      </c>
      <c r="L11" s="14">
        <v>134124</v>
      </c>
    </row>
    <row r="12" spans="1:12" ht="11.25">
      <c r="A12" s="1" t="s">
        <v>13</v>
      </c>
      <c r="C12" s="14">
        <v>20044</v>
      </c>
      <c r="D12" s="14">
        <v>21459</v>
      </c>
      <c r="E12" s="14">
        <v>345699</v>
      </c>
      <c r="F12" s="14">
        <v>144575</v>
      </c>
      <c r="G12" s="15">
        <v>282108</v>
      </c>
      <c r="H12" s="16">
        <v>811269</v>
      </c>
      <c r="I12" s="16">
        <v>55587</v>
      </c>
      <c r="J12" s="17">
        <v>114447</v>
      </c>
      <c r="K12" s="14">
        <v>93219</v>
      </c>
      <c r="L12" s="14">
        <v>54771</v>
      </c>
    </row>
    <row r="13" spans="1:12" ht="11.25">
      <c r="A13" s="1" t="s">
        <v>14</v>
      </c>
      <c r="C13" s="14">
        <f aca="true" t="shared" si="0" ref="C13:L13">C14+C15</f>
        <v>0</v>
      </c>
      <c r="D13" s="14">
        <f t="shared" si="0"/>
        <v>3</v>
      </c>
      <c r="E13" s="14">
        <f t="shared" si="0"/>
        <v>64413</v>
      </c>
      <c r="F13" s="14">
        <f t="shared" si="0"/>
        <v>78456</v>
      </c>
      <c r="G13" s="15">
        <f t="shared" si="0"/>
        <v>91703</v>
      </c>
      <c r="H13" s="16">
        <f t="shared" si="0"/>
        <v>98735</v>
      </c>
      <c r="I13" s="16">
        <f t="shared" si="0"/>
        <v>101772</v>
      </c>
      <c r="J13" s="17">
        <f t="shared" si="0"/>
        <v>125790</v>
      </c>
      <c r="K13" s="14">
        <f t="shared" si="0"/>
        <v>118021</v>
      </c>
      <c r="L13" s="14">
        <f t="shared" si="0"/>
        <v>71635</v>
      </c>
    </row>
    <row r="14" spans="2:12" ht="11.25">
      <c r="B14" s="1" t="s">
        <v>15</v>
      </c>
      <c r="C14" s="14">
        <v>0</v>
      </c>
      <c r="D14" s="14">
        <v>0</v>
      </c>
      <c r="E14" s="14">
        <v>49333</v>
      </c>
      <c r="F14" s="14">
        <v>63490</v>
      </c>
      <c r="G14" s="15">
        <v>73190</v>
      </c>
      <c r="H14" s="16">
        <v>81331</v>
      </c>
      <c r="I14" s="16">
        <v>83482</v>
      </c>
      <c r="J14" s="17">
        <v>93153</v>
      </c>
      <c r="K14" s="14">
        <v>76041</v>
      </c>
      <c r="L14" s="14">
        <v>62259</v>
      </c>
    </row>
    <row r="15" spans="2:12" ht="11.25">
      <c r="B15" s="1" t="s">
        <v>16</v>
      </c>
      <c r="C15" s="14">
        <v>0</v>
      </c>
      <c r="D15" s="14">
        <v>3</v>
      </c>
      <c r="E15" s="14">
        <v>15080</v>
      </c>
      <c r="F15" s="14">
        <v>14966</v>
      </c>
      <c r="G15" s="15">
        <v>18513</v>
      </c>
      <c r="H15" s="16">
        <v>17404</v>
      </c>
      <c r="I15" s="16">
        <v>18290</v>
      </c>
      <c r="J15" s="17">
        <v>32637</v>
      </c>
      <c r="K15" s="14">
        <v>41980</v>
      </c>
      <c r="L15" s="14">
        <v>9376</v>
      </c>
    </row>
    <row r="16" spans="1:12" ht="11.25">
      <c r="A16" s="1" t="s">
        <v>17</v>
      </c>
      <c r="C16" s="14">
        <v>0</v>
      </c>
      <c r="D16" s="14">
        <v>0</v>
      </c>
      <c r="E16" s="14">
        <v>13554</v>
      </c>
      <c r="F16" s="14">
        <v>28459</v>
      </c>
      <c r="G16" s="15">
        <v>1924</v>
      </c>
      <c r="H16" s="16">
        <v>25262</v>
      </c>
      <c r="I16" s="16">
        <v>46233</v>
      </c>
      <c r="J16" s="17">
        <v>27624</v>
      </c>
      <c r="K16" s="14">
        <v>35875</v>
      </c>
      <c r="L16" s="14">
        <v>100</v>
      </c>
    </row>
    <row r="17" spans="1:12" ht="11.25">
      <c r="A17" s="1" t="s">
        <v>18</v>
      </c>
      <c r="C17" s="14">
        <f aca="true" t="shared" si="1" ref="C17:L17">C18+C22</f>
        <v>7894</v>
      </c>
      <c r="D17" s="14">
        <f t="shared" si="1"/>
        <v>7759</v>
      </c>
      <c r="E17" s="14">
        <f t="shared" si="1"/>
        <v>406775</v>
      </c>
      <c r="F17" s="14">
        <f t="shared" si="1"/>
        <v>239632</v>
      </c>
      <c r="G17" s="15">
        <f t="shared" si="1"/>
        <v>362485</v>
      </c>
      <c r="H17" s="16">
        <f t="shared" si="1"/>
        <v>925021</v>
      </c>
      <c r="I17" s="16">
        <f t="shared" si="1"/>
        <v>193597</v>
      </c>
      <c r="J17" s="17">
        <f t="shared" si="1"/>
        <v>255500</v>
      </c>
      <c r="K17" s="14">
        <f t="shared" si="1"/>
        <v>238200</v>
      </c>
      <c r="L17" s="14">
        <f t="shared" si="1"/>
        <v>123557</v>
      </c>
    </row>
    <row r="18" spans="2:12" ht="11.25">
      <c r="B18" s="1" t="s">
        <v>15</v>
      </c>
      <c r="C18" s="14">
        <f aca="true" t="shared" si="2" ref="C18:L18">SUM(C19:C21)</f>
        <v>0</v>
      </c>
      <c r="D18" s="14">
        <f t="shared" si="2"/>
        <v>0</v>
      </c>
      <c r="E18" s="14">
        <f t="shared" si="2"/>
        <v>31215</v>
      </c>
      <c r="F18" s="14">
        <f t="shared" si="2"/>
        <v>99551</v>
      </c>
      <c r="G18" s="15">
        <f t="shared" si="2"/>
        <v>61568</v>
      </c>
      <c r="H18" s="16">
        <f t="shared" si="2"/>
        <v>73817</v>
      </c>
      <c r="I18" s="16">
        <f t="shared" si="2"/>
        <v>78557</v>
      </c>
      <c r="J18" s="17">
        <f t="shared" si="2"/>
        <v>104231</v>
      </c>
      <c r="K18" s="14">
        <f t="shared" si="2"/>
        <v>126103</v>
      </c>
      <c r="L18" s="14">
        <f t="shared" si="2"/>
        <v>77216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v>0</v>
      </c>
      <c r="D20" s="14">
        <v>0</v>
      </c>
      <c r="E20" s="14">
        <v>24968</v>
      </c>
      <c r="F20" s="14">
        <v>84529</v>
      </c>
      <c r="G20" s="15">
        <v>29908</v>
      </c>
      <c r="H20" s="16">
        <v>36265</v>
      </c>
      <c r="I20" s="16">
        <v>35616</v>
      </c>
      <c r="J20" s="17">
        <v>35401</v>
      </c>
      <c r="K20" s="14">
        <v>40952</v>
      </c>
      <c r="L20" s="14">
        <v>47268</v>
      </c>
    </row>
    <row r="21" spans="2:12" ht="11.25">
      <c r="B21" s="1" t="s">
        <v>21</v>
      </c>
      <c r="C21" s="14">
        <v>0</v>
      </c>
      <c r="D21" s="14">
        <v>0</v>
      </c>
      <c r="E21" s="14">
        <v>6247</v>
      </c>
      <c r="F21" s="14">
        <v>15022</v>
      </c>
      <c r="G21" s="15">
        <v>31660</v>
      </c>
      <c r="H21" s="16">
        <v>37552</v>
      </c>
      <c r="I21" s="16">
        <v>42941</v>
      </c>
      <c r="J21" s="17">
        <v>68830</v>
      </c>
      <c r="K21" s="14">
        <v>85151</v>
      </c>
      <c r="L21" s="14">
        <v>29948</v>
      </c>
    </row>
    <row r="22" spans="2:12" ht="11.25">
      <c r="B22" s="1" t="s">
        <v>16</v>
      </c>
      <c r="C22" s="14">
        <f aca="true" t="shared" si="3" ref="C22:L22">SUM(C23:C24)</f>
        <v>7894</v>
      </c>
      <c r="D22" s="14">
        <f t="shared" si="3"/>
        <v>7759</v>
      </c>
      <c r="E22" s="14">
        <f t="shared" si="3"/>
        <v>375560</v>
      </c>
      <c r="F22" s="14">
        <f t="shared" si="3"/>
        <v>140081</v>
      </c>
      <c r="G22" s="15">
        <f t="shared" si="3"/>
        <v>300917</v>
      </c>
      <c r="H22" s="16">
        <f t="shared" si="3"/>
        <v>851204</v>
      </c>
      <c r="I22" s="16">
        <f t="shared" si="3"/>
        <v>115040</v>
      </c>
      <c r="J22" s="17">
        <f t="shared" si="3"/>
        <v>151269</v>
      </c>
      <c r="K22" s="14">
        <f t="shared" si="3"/>
        <v>112097</v>
      </c>
      <c r="L22" s="14">
        <f t="shared" si="3"/>
        <v>46341</v>
      </c>
    </row>
    <row r="23" spans="2:12" ht="11.25">
      <c r="B23" s="1" t="s">
        <v>20</v>
      </c>
      <c r="C23" s="14">
        <v>7894</v>
      </c>
      <c r="D23" s="14">
        <v>7759</v>
      </c>
      <c r="E23" s="14">
        <v>75027</v>
      </c>
      <c r="F23" s="14">
        <v>89535</v>
      </c>
      <c r="G23" s="15">
        <v>90295</v>
      </c>
      <c r="H23" s="16">
        <v>850992</v>
      </c>
      <c r="I23" s="16">
        <v>100145</v>
      </c>
      <c r="J23" s="17">
        <v>99443</v>
      </c>
      <c r="K23" s="14">
        <v>65125</v>
      </c>
      <c r="L23" s="14">
        <v>36262</v>
      </c>
    </row>
    <row r="24" spans="2:12" ht="11.25">
      <c r="B24" s="1" t="s">
        <v>21</v>
      </c>
      <c r="C24" s="14">
        <v>0</v>
      </c>
      <c r="D24" s="14">
        <v>0</v>
      </c>
      <c r="E24" s="14">
        <v>300533</v>
      </c>
      <c r="F24" s="14">
        <v>50546</v>
      </c>
      <c r="G24" s="15">
        <v>210622</v>
      </c>
      <c r="H24" s="16">
        <v>212</v>
      </c>
      <c r="I24" s="16">
        <v>14895</v>
      </c>
      <c r="J24" s="17">
        <v>51826</v>
      </c>
      <c r="K24" s="14">
        <v>46972</v>
      </c>
      <c r="L24" s="14">
        <v>10079</v>
      </c>
    </row>
    <row r="25" spans="1:12" ht="11.25">
      <c r="A25" s="2" t="s">
        <v>22</v>
      </c>
      <c r="B25" s="2"/>
      <c r="C25" s="18">
        <v>13326</v>
      </c>
      <c r="D25" s="18">
        <v>13935</v>
      </c>
      <c r="E25" s="18">
        <v>11772</v>
      </c>
      <c r="F25" s="18">
        <v>11069</v>
      </c>
      <c r="G25" s="19">
        <v>10570</v>
      </c>
      <c r="H25" s="18">
        <v>7156</v>
      </c>
      <c r="I25" s="18">
        <v>6376</v>
      </c>
      <c r="J25" s="20">
        <v>5156</v>
      </c>
      <c r="K25" s="18">
        <v>4262</v>
      </c>
      <c r="L25" s="18">
        <v>4091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204161</v>
      </c>
      <c r="D27" s="14">
        <f>(D11+H11)/2</f>
        <v>488496</v>
      </c>
      <c r="E27" s="14">
        <f>(E11+I11)/2</f>
        <v>325651.5</v>
      </c>
      <c r="F27" s="14">
        <f>(F11+J11)/2</f>
        <v>271156</v>
      </c>
      <c r="G27" s="15">
        <f>(G11+K11)/2</f>
        <v>324815.5</v>
      </c>
      <c r="H27" s="16">
        <f>(H11+256502)/2</f>
        <v>605284.5</v>
      </c>
      <c r="I27" s="16">
        <f>(I11+218490)/2</f>
        <v>217803.5</v>
      </c>
      <c r="J27" s="17">
        <f>(J11+174167)/2</f>
        <v>227149.5</v>
      </c>
      <c r="K27" s="14">
        <f>(K11+L11)/2</f>
        <v>198846.5</v>
      </c>
      <c r="L27" s="14">
        <f>(L11+104352)/2</f>
        <v>119238</v>
      </c>
    </row>
    <row r="28" spans="1:12" ht="11.25">
      <c r="A28" s="1" t="s">
        <v>24</v>
      </c>
      <c r="C28" s="14">
        <f aca="true" t="shared" si="4" ref="C28:L28">C29+C30</f>
        <v>46813.5</v>
      </c>
      <c r="D28" s="14">
        <f t="shared" si="4"/>
        <v>62000</v>
      </c>
      <c r="E28" s="14">
        <f t="shared" si="4"/>
        <v>112986</v>
      </c>
      <c r="F28" s="14">
        <f t="shared" si="4"/>
        <v>130164.5</v>
      </c>
      <c r="G28" s="15">
        <f t="shared" si="4"/>
        <v>123761.5</v>
      </c>
      <c r="H28" s="16">
        <f t="shared" si="4"/>
        <v>123924.5</v>
      </c>
      <c r="I28" s="16">
        <f t="shared" si="4"/>
        <v>131810.5</v>
      </c>
      <c r="J28" s="17">
        <f t="shared" si="4"/>
        <v>117016.5</v>
      </c>
      <c r="K28" s="14">
        <f t="shared" si="4"/>
        <v>112815.5</v>
      </c>
      <c r="L28" s="14">
        <f t="shared" si="4"/>
        <v>74975.5</v>
      </c>
    </row>
    <row r="29" spans="2:12" ht="11.25">
      <c r="B29" s="1" t="s">
        <v>14</v>
      </c>
      <c r="C29" s="14">
        <f>(C13+G13)/2</f>
        <v>45851.5</v>
      </c>
      <c r="D29" s="14">
        <f>(D13+H13)/2</f>
        <v>49369</v>
      </c>
      <c r="E29" s="14">
        <f>(E13+I13)/2</f>
        <v>83092.5</v>
      </c>
      <c r="F29" s="14">
        <f>(F13+J13)/2</f>
        <v>102123</v>
      </c>
      <c r="G29" s="15">
        <f>(G13+K13)/2</f>
        <v>104862</v>
      </c>
      <c r="H29" s="16">
        <f>(H13+104649)/2</f>
        <v>101692</v>
      </c>
      <c r="I29" s="16">
        <f>(I13+110803)/2</f>
        <v>106287.5</v>
      </c>
      <c r="J29" s="17">
        <f>(J13+75806)/2</f>
        <v>100798</v>
      </c>
      <c r="K29" s="14">
        <f>(K13+L13)/2</f>
        <v>94828</v>
      </c>
      <c r="L29" s="14">
        <f>(L13+76716)/2</f>
        <v>74175.5</v>
      </c>
    </row>
    <row r="30" spans="2:12" ht="11.25">
      <c r="B30" s="1" t="s">
        <v>17</v>
      </c>
      <c r="C30" s="14">
        <f>(C16+G16)/2</f>
        <v>962</v>
      </c>
      <c r="D30" s="14">
        <f>(D16+H16)/2</f>
        <v>12631</v>
      </c>
      <c r="E30" s="14">
        <f>(E16+I16)/2</f>
        <v>29893.5</v>
      </c>
      <c r="F30" s="14">
        <f>(F16+J16)/2</f>
        <v>28041.5</v>
      </c>
      <c r="G30" s="15">
        <f>(G16+K16)/2</f>
        <v>18899.5</v>
      </c>
      <c r="H30" s="16">
        <f>(H16+19203)/2</f>
        <v>22232.5</v>
      </c>
      <c r="I30" s="16">
        <f>(I16+4813)/2</f>
        <v>25523</v>
      </c>
      <c r="J30" s="17">
        <f>(J16+4813)/2</f>
        <v>16218.5</v>
      </c>
      <c r="K30" s="14">
        <f>(K16+L16)/2</f>
        <v>17987.5</v>
      </c>
      <c r="L30" s="14">
        <f>(L16+1500)/2</f>
        <v>800</v>
      </c>
    </row>
    <row r="31" spans="1:12" ht="11.25">
      <c r="A31" s="2" t="s">
        <v>22</v>
      </c>
      <c r="B31" s="2"/>
      <c r="C31" s="18">
        <f>(C25+G25)/2</f>
        <v>11948</v>
      </c>
      <c r="D31" s="18">
        <f>(D25+H25)/2</f>
        <v>10545.5</v>
      </c>
      <c r="E31" s="18">
        <f>(E25+I25)/2</f>
        <v>9074</v>
      </c>
      <c r="F31" s="18">
        <f>(F25+J25)/2</f>
        <v>8112.5</v>
      </c>
      <c r="G31" s="19">
        <f>(G25+K25)/2</f>
        <v>7416</v>
      </c>
      <c r="H31" s="18">
        <f>(H25+4669)/2</f>
        <v>5912.5</v>
      </c>
      <c r="I31" s="18">
        <f>(I25+4244)/2</f>
        <v>5310</v>
      </c>
      <c r="J31" s="20">
        <f>(J25+4008)/2</f>
        <v>4582</v>
      </c>
      <c r="K31" s="18">
        <f>(K25+L25)/2</f>
        <v>4176.5</v>
      </c>
      <c r="L31" s="18">
        <f>(L25+3564)/2</f>
        <v>3827.5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13791</v>
      </c>
      <c r="D33" s="14">
        <f>E33+2023</f>
        <v>13574</v>
      </c>
      <c r="E33" s="14">
        <f>F33+6641</f>
        <v>11551</v>
      </c>
      <c r="F33" s="14">
        <v>4910</v>
      </c>
      <c r="G33" s="15">
        <f>14391+H33</f>
        <v>34230</v>
      </c>
      <c r="H33" s="16">
        <f>10058+I33</f>
        <v>19839</v>
      </c>
      <c r="I33" s="16">
        <f>4598+J33</f>
        <v>9781</v>
      </c>
      <c r="J33" s="17">
        <v>5183</v>
      </c>
      <c r="K33" s="14">
        <v>13801</v>
      </c>
      <c r="L33" s="14">
        <v>8061</v>
      </c>
    </row>
    <row r="34" spans="1:12" ht="11.25">
      <c r="A34" s="1" t="s">
        <v>27</v>
      </c>
      <c r="C34" s="24">
        <v>10325</v>
      </c>
      <c r="D34" s="14">
        <f>E34+905</f>
        <v>10285</v>
      </c>
      <c r="E34" s="14">
        <f>F34+5658</f>
        <v>9380</v>
      </c>
      <c r="F34" s="14">
        <v>3722</v>
      </c>
      <c r="G34" s="15">
        <f>13226+H34</f>
        <v>28422</v>
      </c>
      <c r="H34" s="16">
        <f>8456+I34</f>
        <v>15196</v>
      </c>
      <c r="I34" s="16">
        <f>3259+J34</f>
        <v>6740</v>
      </c>
      <c r="J34" s="17">
        <v>3481</v>
      </c>
      <c r="K34" s="14">
        <v>9365</v>
      </c>
      <c r="L34" s="14">
        <v>5040</v>
      </c>
    </row>
    <row r="35" spans="1:12" ht="11.25">
      <c r="A35" s="1" t="s">
        <v>28</v>
      </c>
      <c r="C35" s="14">
        <f aca="true" t="shared" si="5" ref="C35:L35">C33-C34</f>
        <v>3466</v>
      </c>
      <c r="D35" s="14">
        <f t="shared" si="5"/>
        <v>3289</v>
      </c>
      <c r="E35" s="14">
        <f t="shared" si="5"/>
        <v>2171</v>
      </c>
      <c r="F35" s="14">
        <f t="shared" si="5"/>
        <v>1188</v>
      </c>
      <c r="G35" s="15">
        <f t="shared" si="5"/>
        <v>5808</v>
      </c>
      <c r="H35" s="16">
        <f t="shared" si="5"/>
        <v>4643</v>
      </c>
      <c r="I35" s="16">
        <f t="shared" si="5"/>
        <v>3041</v>
      </c>
      <c r="J35" s="17">
        <f t="shared" si="5"/>
        <v>1702</v>
      </c>
      <c r="K35" s="14">
        <f t="shared" si="5"/>
        <v>4436</v>
      </c>
      <c r="L35" s="14">
        <f t="shared" si="5"/>
        <v>3021</v>
      </c>
    </row>
    <row r="36" spans="1:12" ht="11.25">
      <c r="A36" s="1" t="s">
        <v>29</v>
      </c>
      <c r="C36" s="24">
        <v>2903</v>
      </c>
      <c r="D36" s="14">
        <f>E36+2074</f>
        <v>2857</v>
      </c>
      <c r="E36" s="14">
        <f>F36+501</f>
        <v>783</v>
      </c>
      <c r="F36" s="14">
        <v>282</v>
      </c>
      <c r="G36" s="15">
        <f>3909+H36</f>
        <v>6175</v>
      </c>
      <c r="H36" s="16">
        <f>676+I36</f>
        <v>2266</v>
      </c>
      <c r="I36" s="16">
        <f>850+J36</f>
        <v>1590</v>
      </c>
      <c r="J36" s="17">
        <v>740</v>
      </c>
      <c r="K36" s="14">
        <v>1718</v>
      </c>
      <c r="L36" s="14">
        <v>1682</v>
      </c>
    </row>
    <row r="37" spans="1:12" ht="11.25">
      <c r="A37" s="1" t="s">
        <v>30</v>
      </c>
      <c r="C37" s="14">
        <f aca="true" t="shared" si="6" ref="C37:L37">C35+C36</f>
        <v>6369</v>
      </c>
      <c r="D37" s="14">
        <f t="shared" si="6"/>
        <v>6146</v>
      </c>
      <c r="E37" s="14">
        <f t="shared" si="6"/>
        <v>2954</v>
      </c>
      <c r="F37" s="14">
        <f t="shared" si="6"/>
        <v>1470</v>
      </c>
      <c r="G37" s="15">
        <f t="shared" si="6"/>
        <v>11983</v>
      </c>
      <c r="H37" s="16">
        <f t="shared" si="6"/>
        <v>6909</v>
      </c>
      <c r="I37" s="16">
        <f t="shared" si="6"/>
        <v>4631</v>
      </c>
      <c r="J37" s="17">
        <f t="shared" si="6"/>
        <v>2442</v>
      </c>
      <c r="K37" s="14">
        <f t="shared" si="6"/>
        <v>6154</v>
      </c>
      <c r="L37" s="14">
        <f t="shared" si="6"/>
        <v>4703</v>
      </c>
    </row>
    <row r="38" spans="1:12" ht="11.25">
      <c r="A38" s="1" t="s">
        <v>31</v>
      </c>
      <c r="C38" s="24">
        <v>3341</v>
      </c>
      <c r="D38" s="14">
        <f>E38+757</f>
        <v>2509</v>
      </c>
      <c r="E38" s="14">
        <f>F38+780</f>
        <v>1752</v>
      </c>
      <c r="F38" s="14">
        <v>972</v>
      </c>
      <c r="G38" s="15">
        <f>1054+H38</f>
        <v>5258</v>
      </c>
      <c r="H38" s="16">
        <f>1352+I38</f>
        <v>4204</v>
      </c>
      <c r="I38" s="16">
        <f>1304+J38</f>
        <v>2852</v>
      </c>
      <c r="J38" s="17">
        <v>1548</v>
      </c>
      <c r="K38" s="14">
        <v>5982</v>
      </c>
      <c r="L38" s="14">
        <v>4176</v>
      </c>
    </row>
    <row r="39" spans="1:12" ht="11.25">
      <c r="A39" s="1" t="s">
        <v>32</v>
      </c>
      <c r="C39" s="14">
        <f aca="true" t="shared" si="7" ref="C39:L39">C37-C38</f>
        <v>3028</v>
      </c>
      <c r="D39" s="14">
        <f t="shared" si="7"/>
        <v>3637</v>
      </c>
      <c r="E39" s="14">
        <f t="shared" si="7"/>
        <v>1202</v>
      </c>
      <c r="F39" s="14">
        <f t="shared" si="7"/>
        <v>498</v>
      </c>
      <c r="G39" s="15">
        <f t="shared" si="7"/>
        <v>6725</v>
      </c>
      <c r="H39" s="16">
        <f t="shared" si="7"/>
        <v>2705</v>
      </c>
      <c r="I39" s="16">
        <f t="shared" si="7"/>
        <v>1779</v>
      </c>
      <c r="J39" s="17">
        <f t="shared" si="7"/>
        <v>894</v>
      </c>
      <c r="K39" s="14">
        <f t="shared" si="7"/>
        <v>172</v>
      </c>
      <c r="L39" s="14">
        <f t="shared" si="7"/>
        <v>527</v>
      </c>
    </row>
    <row r="40" spans="1:12" ht="11.25">
      <c r="A40" s="2" t="s">
        <v>33</v>
      </c>
      <c r="B40" s="2"/>
      <c r="C40" s="25">
        <v>2756</v>
      </c>
      <c r="D40" s="18">
        <f>E40+2163</f>
        <v>3364</v>
      </c>
      <c r="E40" s="18">
        <v>1201</v>
      </c>
      <c r="F40" s="18">
        <v>498</v>
      </c>
      <c r="G40" s="19">
        <f>3412+H40</f>
        <v>5967</v>
      </c>
      <c r="H40" s="18">
        <f>776+I40</f>
        <v>2555</v>
      </c>
      <c r="I40" s="18">
        <f>885+J40</f>
        <v>1779</v>
      </c>
      <c r="J40" s="20">
        <v>894</v>
      </c>
      <c r="K40" s="18">
        <v>172</v>
      </c>
      <c r="L40" s="18">
        <v>527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">
        <v>0</v>
      </c>
      <c r="D42" s="14">
        <v>0</v>
      </c>
      <c r="E42" s="14">
        <v>1073</v>
      </c>
      <c r="F42" s="14">
        <v>1007</v>
      </c>
      <c r="G42" s="15">
        <v>35</v>
      </c>
      <c r="H42" s="16">
        <v>35</v>
      </c>
      <c r="I42" s="16">
        <v>35</v>
      </c>
      <c r="J42" s="17">
        <v>35</v>
      </c>
      <c r="K42" s="14">
        <v>228</v>
      </c>
      <c r="L42" s="14">
        <v>407</v>
      </c>
    </row>
    <row r="43" spans="1:12" ht="11.25">
      <c r="A43" s="1" t="s">
        <v>36</v>
      </c>
      <c r="C43" s="1">
        <v>0</v>
      </c>
      <c r="D43" s="14">
        <v>0</v>
      </c>
      <c r="E43" s="14">
        <v>724</v>
      </c>
      <c r="F43" s="14">
        <v>724</v>
      </c>
      <c r="G43" s="15">
        <v>724</v>
      </c>
      <c r="H43" s="16">
        <v>4381</v>
      </c>
      <c r="I43" s="16">
        <v>4231</v>
      </c>
      <c r="J43" s="17">
        <v>4228</v>
      </c>
      <c r="K43" s="14">
        <v>4228</v>
      </c>
      <c r="L43" s="14">
        <v>310</v>
      </c>
    </row>
    <row r="44" spans="1:12" ht="11.25">
      <c r="A44" s="1" t="s">
        <v>37</v>
      </c>
      <c r="C44" s="26">
        <v>0</v>
      </c>
      <c r="D44" s="26">
        <f aca="true" t="shared" si="8" ref="D44:L44">D42/D13</f>
        <v>0</v>
      </c>
      <c r="E44" s="26">
        <f t="shared" si="8"/>
        <v>0.016658128017636192</v>
      </c>
      <c r="F44" s="26">
        <f t="shared" si="8"/>
        <v>0.012835219741001326</v>
      </c>
      <c r="G44" s="27">
        <f t="shared" si="8"/>
        <v>0.0003816669029366542</v>
      </c>
      <c r="H44" s="28">
        <f t="shared" si="8"/>
        <v>0.0003544842254519674</v>
      </c>
      <c r="I44" s="28">
        <f t="shared" si="8"/>
        <v>0.00034390598592933224</v>
      </c>
      <c r="J44" s="29">
        <f t="shared" si="8"/>
        <v>0.0002782415136338342</v>
      </c>
      <c r="K44" s="26">
        <f t="shared" si="8"/>
        <v>0.0019318595843112667</v>
      </c>
      <c r="L44" s="26">
        <f t="shared" si="8"/>
        <v>0.005681580233126265</v>
      </c>
    </row>
    <row r="45" spans="1:12" ht="11.25">
      <c r="A45" s="1" t="s">
        <v>38</v>
      </c>
      <c r="C45" s="26">
        <v>0</v>
      </c>
      <c r="D45" s="26">
        <v>0</v>
      </c>
      <c r="E45" s="26">
        <f aca="true" t="shared" si="9" ref="E45:L45">E43/E42</f>
        <v>0.6747437092264679</v>
      </c>
      <c r="F45" s="26">
        <f t="shared" si="9"/>
        <v>0.7189672293942403</v>
      </c>
      <c r="G45" s="27">
        <f t="shared" si="9"/>
        <v>20.685714285714287</v>
      </c>
      <c r="H45" s="28">
        <f t="shared" si="9"/>
        <v>125.17142857142858</v>
      </c>
      <c r="I45" s="28">
        <f t="shared" si="9"/>
        <v>120.88571428571429</v>
      </c>
      <c r="J45" s="29">
        <f t="shared" si="9"/>
        <v>120.8</v>
      </c>
      <c r="K45" s="26">
        <f t="shared" si="9"/>
        <v>18.54385964912281</v>
      </c>
      <c r="L45" s="26">
        <f t="shared" si="9"/>
        <v>0.7616707616707616</v>
      </c>
    </row>
    <row r="46" spans="1:12" ht="11.25">
      <c r="A46" s="2" t="s">
        <v>39</v>
      </c>
      <c r="B46" s="2"/>
      <c r="C46" s="30">
        <v>0</v>
      </c>
      <c r="D46" s="30">
        <f aca="true" t="shared" si="10" ref="D46:L46">D43/D13</f>
        <v>0</v>
      </c>
      <c r="E46" s="30">
        <f t="shared" si="10"/>
        <v>0.011239967087389191</v>
      </c>
      <c r="F46" s="30">
        <f t="shared" si="10"/>
        <v>0.009228102375853982</v>
      </c>
      <c r="G46" s="31">
        <f t="shared" si="10"/>
        <v>0.007895052506461076</v>
      </c>
      <c r="H46" s="30">
        <f t="shared" si="10"/>
        <v>0.044371296905859114</v>
      </c>
      <c r="I46" s="30">
        <f t="shared" si="10"/>
        <v>0.041573320756200134</v>
      </c>
      <c r="J46" s="32">
        <f t="shared" si="10"/>
        <v>0.03361157484696717</v>
      </c>
      <c r="K46" s="30">
        <f t="shared" si="10"/>
        <v>0.035824132993280855</v>
      </c>
      <c r="L46" s="30">
        <f t="shared" si="10"/>
        <v>0.004327493543658826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6">
        <v>0</v>
      </c>
      <c r="D48" s="26">
        <v>0</v>
      </c>
      <c r="E48" s="26">
        <f aca="true" t="shared" si="11" ref="E48:L48">E25/(E13+E16)</f>
        <v>0.15098695601985454</v>
      </c>
      <c r="F48" s="26">
        <f t="shared" si="11"/>
        <v>0.1035308422578684</v>
      </c>
      <c r="G48" s="27">
        <f t="shared" si="11"/>
        <v>0.11289478462409348</v>
      </c>
      <c r="H48" s="28">
        <f t="shared" si="11"/>
        <v>0.057711073655007786</v>
      </c>
      <c r="I48" s="28">
        <f t="shared" si="11"/>
        <v>0.04307962568832134</v>
      </c>
      <c r="J48" s="29">
        <f t="shared" si="11"/>
        <v>0.03360840601248908</v>
      </c>
      <c r="K48" s="26">
        <f t="shared" si="11"/>
        <v>0.02769402713520819</v>
      </c>
      <c r="L48" s="26">
        <f t="shared" si="11"/>
        <v>0.057029344113752004</v>
      </c>
    </row>
    <row r="49" spans="1:12" ht="11.25">
      <c r="A49" s="2" t="s">
        <v>42</v>
      </c>
      <c r="B49" s="2"/>
      <c r="C49" s="30">
        <v>0</v>
      </c>
      <c r="D49" s="30">
        <f aca="true" t="shared" si="12" ref="D49:L49">D25/D11</f>
        <v>0.6078516902944384</v>
      </c>
      <c r="E49" s="30">
        <f t="shared" si="12"/>
        <v>0.027112804189909395</v>
      </c>
      <c r="F49" s="30">
        <f t="shared" si="12"/>
        <v>0.04221908612403692</v>
      </c>
      <c r="G49" s="31">
        <f t="shared" si="12"/>
        <v>0.027379022022369463</v>
      </c>
      <c r="H49" s="30">
        <f t="shared" si="12"/>
        <v>0.007500521451847721</v>
      </c>
      <c r="I49" s="30">
        <f t="shared" si="12"/>
        <v>0.029366654845083526</v>
      </c>
      <c r="J49" s="32">
        <f t="shared" si="12"/>
        <v>0.0184056087844302</v>
      </c>
      <c r="K49" s="30">
        <f t="shared" si="12"/>
        <v>0.01617033869688772</v>
      </c>
      <c r="L49" s="30">
        <f t="shared" si="12"/>
        <v>0.030501625361605677</v>
      </c>
    </row>
    <row r="50" spans="1:12" ht="11.25">
      <c r="A50" s="9" t="s">
        <v>43</v>
      </c>
      <c r="G50" s="33"/>
      <c r="H50" s="34"/>
      <c r="I50" s="34"/>
      <c r="J50" s="35"/>
      <c r="K50" s="36"/>
      <c r="L50" s="36"/>
    </row>
    <row r="51" spans="1:12" ht="11.25">
      <c r="A51" s="1" t="s">
        <v>44</v>
      </c>
      <c r="C51" s="36">
        <f aca="true" t="shared" si="13" ref="C51:L51">C12/C17</f>
        <v>2.5391436534076512</v>
      </c>
      <c r="D51" s="36">
        <f t="shared" si="13"/>
        <v>2.765691455084418</v>
      </c>
      <c r="E51" s="36">
        <f t="shared" si="13"/>
        <v>0.849853112900252</v>
      </c>
      <c r="F51" s="36">
        <f t="shared" si="13"/>
        <v>0.6033209254189758</v>
      </c>
      <c r="G51" s="33">
        <f t="shared" si="13"/>
        <v>0.7782611694277004</v>
      </c>
      <c r="H51" s="34">
        <f t="shared" si="13"/>
        <v>0.8770276566694162</v>
      </c>
      <c r="I51" s="34">
        <f t="shared" si="13"/>
        <v>0.2871273831722599</v>
      </c>
      <c r="J51" s="35">
        <f t="shared" si="13"/>
        <v>0.44793346379647747</v>
      </c>
      <c r="K51" s="36">
        <f t="shared" si="13"/>
        <v>0.39134760705289673</v>
      </c>
      <c r="L51" s="36">
        <f t="shared" si="13"/>
        <v>0.4432852853338945</v>
      </c>
    </row>
    <row r="52" spans="1:12" ht="11.25">
      <c r="A52" s="1" t="s">
        <v>45</v>
      </c>
      <c r="C52" s="36">
        <f aca="true" t="shared" si="14" ref="C52:L52">C12/C11</f>
        <v>0.9004492362982929</v>
      </c>
      <c r="D52" s="36">
        <f t="shared" si="14"/>
        <v>0.936052344601963</v>
      </c>
      <c r="E52" s="36">
        <f t="shared" si="14"/>
        <v>0.7962002459775304</v>
      </c>
      <c r="F52" s="36">
        <f t="shared" si="14"/>
        <v>0.5514341292241971</v>
      </c>
      <c r="G52" s="33">
        <f t="shared" si="14"/>
        <v>0.7307323694121669</v>
      </c>
      <c r="H52" s="34">
        <f t="shared" si="14"/>
        <v>0.8503270734654904</v>
      </c>
      <c r="I52" s="34">
        <f t="shared" si="14"/>
        <v>0.2560232501370229</v>
      </c>
      <c r="J52" s="35">
        <f t="shared" si="14"/>
        <v>0.40854668513415104</v>
      </c>
      <c r="K52" s="36">
        <f t="shared" si="14"/>
        <v>0.3536796816014023</v>
      </c>
      <c r="L52" s="36">
        <f t="shared" si="14"/>
        <v>0.40836091974590677</v>
      </c>
    </row>
    <row r="53" spans="1:12" ht="11.25">
      <c r="A53" s="2" t="s">
        <v>46</v>
      </c>
      <c r="B53" s="2"/>
      <c r="C53" s="37">
        <f aca="true" t="shared" si="15" ref="C53:L53">(C12+C16)/C17</f>
        <v>2.5391436534076512</v>
      </c>
      <c r="D53" s="37">
        <f t="shared" si="15"/>
        <v>2.765691455084418</v>
      </c>
      <c r="E53" s="37">
        <f t="shared" si="15"/>
        <v>0.883173744699158</v>
      </c>
      <c r="F53" s="37">
        <f t="shared" si="15"/>
        <v>0.7220821926954664</v>
      </c>
      <c r="G53" s="38">
        <f t="shared" si="15"/>
        <v>0.7835689752679421</v>
      </c>
      <c r="H53" s="37">
        <f t="shared" si="15"/>
        <v>0.9043373069368155</v>
      </c>
      <c r="I53" s="37">
        <f t="shared" si="15"/>
        <v>0.5259379019302985</v>
      </c>
      <c r="J53" s="39">
        <f t="shared" si="15"/>
        <v>0.5560508806262231</v>
      </c>
      <c r="K53" s="37">
        <f t="shared" si="15"/>
        <v>0.5419563392107473</v>
      </c>
      <c r="L53" s="37">
        <f t="shared" si="15"/>
        <v>0.44409462839013575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0.05887190660813654</v>
      </c>
      <c r="D55" s="40">
        <f>(D40/0.75)/D28</f>
        <v>0.07234408602150537</v>
      </c>
      <c r="E55" s="26">
        <f>(E40/0.5)/E28</f>
        <v>0.021259271060131344</v>
      </c>
      <c r="F55" s="26">
        <f>((F40)/0.25)/F28</f>
        <v>0.015303711841554341</v>
      </c>
      <c r="G55" s="41">
        <f>G40/G28</f>
        <v>0.04821370135300558</v>
      </c>
      <c r="H55" s="40">
        <f>(H40/0.75)/H28</f>
        <v>0.027489856054829082</v>
      </c>
      <c r="I55" s="40">
        <f>(I40/0.5)/I28</f>
        <v>0.026993297195595192</v>
      </c>
      <c r="J55" s="29">
        <f>((J40)/0.25)/J28</f>
        <v>0.03055979284972632</v>
      </c>
      <c r="K55" s="26">
        <f>K40/K28</f>
        <v>0.0015246131958817715</v>
      </c>
      <c r="L55" s="26">
        <f>L40/L28</f>
        <v>0.0070289627945128745</v>
      </c>
    </row>
    <row r="56" spans="1:12" ht="11.25">
      <c r="A56" s="1" t="s">
        <v>49</v>
      </c>
      <c r="B56" s="22"/>
      <c r="C56" s="40">
        <f>C40/C27</f>
        <v>0.013499150180494806</v>
      </c>
      <c r="D56" s="40">
        <f>(D40/0.75)/D27</f>
        <v>0.009181924382867687</v>
      </c>
      <c r="E56" s="26">
        <f>(E40/0.5)/E27</f>
        <v>0.007375983221327094</v>
      </c>
      <c r="F56" s="26">
        <f>((F40)/0.25)/F27</f>
        <v>0.0073463246249391495</v>
      </c>
      <c r="G56" s="41">
        <f>G40/G27</f>
        <v>0.018370428751091003</v>
      </c>
      <c r="H56" s="40">
        <f>(H40/0.75)/H27</f>
        <v>0.00562820734161649</v>
      </c>
      <c r="I56" s="40">
        <f>(I40/0.5)/I27</f>
        <v>0.016335825641002097</v>
      </c>
      <c r="J56" s="29">
        <f>((J40)/0.25)/J27</f>
        <v>0.015742935819801497</v>
      </c>
      <c r="K56" s="26">
        <f>K40/K27</f>
        <v>0.0008649888230368651</v>
      </c>
      <c r="L56" s="26">
        <f>L40/L27</f>
        <v>0.0044197319646421445</v>
      </c>
    </row>
    <row r="57" spans="1:12" ht="11.25">
      <c r="A57" s="1" t="s">
        <v>50</v>
      </c>
      <c r="B57" s="22"/>
      <c r="C57" s="40">
        <f>+C40/C31</f>
        <v>0.2306662202879143</v>
      </c>
      <c r="D57" s="40">
        <f>(D40/0.75)/D31</f>
        <v>0.42533150000790226</v>
      </c>
      <c r="E57" s="26">
        <f>(E40/0.5)/E31</f>
        <v>0.26471236499889794</v>
      </c>
      <c r="F57" s="26">
        <f>((F40)/0.25)/F31</f>
        <v>0.24554699537750385</v>
      </c>
      <c r="G57" s="41">
        <f>+G40/G31</f>
        <v>0.8046116504854369</v>
      </c>
      <c r="H57" s="40">
        <f>(H40/0.75)/H31</f>
        <v>0.5761804087385483</v>
      </c>
      <c r="I57" s="40">
        <f>(I40/0.5)/I31</f>
        <v>0.6700564971751413</v>
      </c>
      <c r="J57" s="29">
        <f>((J40)/0.25)/J31</f>
        <v>0.7804452204277608</v>
      </c>
      <c r="K57" s="26">
        <f>K40/K31</f>
        <v>0.04118280857177062</v>
      </c>
      <c r="L57" s="26">
        <f>L40/L31</f>
        <v>0.13768778576094057</v>
      </c>
    </row>
    <row r="58" spans="1:12" ht="11.25">
      <c r="A58" s="1" t="s">
        <v>51</v>
      </c>
      <c r="B58" s="22"/>
      <c r="C58" s="40">
        <f>C33/C28</f>
        <v>0.2945945079944888</v>
      </c>
      <c r="D58" s="40">
        <f>(D33/0.75)/D28</f>
        <v>0.2919139784946237</v>
      </c>
      <c r="E58" s="26">
        <f>(E33/0.5)/E28</f>
        <v>0.20446781017117166</v>
      </c>
      <c r="F58" s="26">
        <f>((F33)/0.25)/F28</f>
        <v>0.15088599426110805</v>
      </c>
      <c r="G58" s="41">
        <f>G33/G28</f>
        <v>0.276580358188936</v>
      </c>
      <c r="H58" s="40">
        <f>(H33/0.75)/H28</f>
        <v>0.2134525457032306</v>
      </c>
      <c r="I58" s="40">
        <f>(I33/0.5)/I28</f>
        <v>0.14841002803266812</v>
      </c>
      <c r="J58" s="29">
        <f>((J33)/0.25)/J28</f>
        <v>0.1771715954587601</v>
      </c>
      <c r="K58" s="26">
        <f>K33/K28</f>
        <v>0.12233248090909493</v>
      </c>
      <c r="L58" s="26">
        <f>L33/L27</f>
        <v>0.06760428722387159</v>
      </c>
    </row>
    <row r="59" spans="1:12" ht="11.25">
      <c r="A59" s="1" t="s">
        <v>52</v>
      </c>
      <c r="B59" s="22"/>
      <c r="C59" s="40">
        <f>C34/C28</f>
        <v>0.2205560361861429</v>
      </c>
      <c r="D59" s="40">
        <f>(D34/0.75)/D28</f>
        <v>0.22118279569892474</v>
      </c>
      <c r="E59" s="26">
        <f>(E34/0.5)/E28</f>
        <v>0.16603827022816986</v>
      </c>
      <c r="F59" s="26">
        <f>((F34)/0.25)/F28</f>
        <v>0.11437834432583385</v>
      </c>
      <c r="G59" s="41">
        <f>G34/G28</f>
        <v>0.2296513859318124</v>
      </c>
      <c r="H59" s="40">
        <f>(H34/0.75)/H28</f>
        <v>0.16349739828148052</v>
      </c>
      <c r="I59" s="40">
        <f>(I34/0.5)/I28</f>
        <v>0.10226802872305317</v>
      </c>
      <c r="J59" s="29">
        <f>((J34)/0.25)/J28</f>
        <v>0.11899176611845338</v>
      </c>
      <c r="K59" s="26">
        <f>K34/K28</f>
        <v>0.08301164290367902</v>
      </c>
      <c r="L59" s="26">
        <f>L34/L27</f>
        <v>0.042268404367735116</v>
      </c>
    </row>
    <row r="60" spans="1:12" ht="11.25">
      <c r="A60" s="1" t="s">
        <v>53</v>
      </c>
      <c r="B60" s="22"/>
      <c r="C60" s="40">
        <f>C35/C28</f>
        <v>0.07403847180834588</v>
      </c>
      <c r="D60" s="40">
        <f>(D35/0.75)/D28</f>
        <v>0.07073118279569891</v>
      </c>
      <c r="E60" s="26">
        <f>(E35/0.5)/E28</f>
        <v>0.038429539943001786</v>
      </c>
      <c r="F60" s="26">
        <f>((F35)/0.25)/F28</f>
        <v>0.03650764993527421</v>
      </c>
      <c r="G60" s="41">
        <f>G35/G28</f>
        <v>0.04692897225712358</v>
      </c>
      <c r="H60" s="40">
        <f>(H35/0.75)/H28</f>
        <v>0.04995514742175007</v>
      </c>
      <c r="I60" s="40">
        <f>(I35/0.5)/I28</f>
        <v>0.04614199930961494</v>
      </c>
      <c r="J60" s="29">
        <f>((J35)/0.25)/J28</f>
        <v>0.05817982934030671</v>
      </c>
      <c r="K60" s="26">
        <f>K35/K28</f>
        <v>0.03932083800541592</v>
      </c>
      <c r="L60" s="26">
        <f>L35/L27</f>
        <v>0.025335882856136468</v>
      </c>
    </row>
    <row r="61" spans="1:12" ht="11.25">
      <c r="A61" s="1" t="s">
        <v>54</v>
      </c>
      <c r="B61" s="22"/>
      <c r="C61" s="40">
        <f>C38/C37</f>
        <v>0.5245721463338043</v>
      </c>
      <c r="D61" s="40">
        <f>(D38/0.75)/(D37/0.75)</f>
        <v>0.4082329970712659</v>
      </c>
      <c r="E61" s="26">
        <f>(E38/0.5)/(E37/0.5)</f>
        <v>0.5930941096817874</v>
      </c>
      <c r="F61" s="26">
        <f>(F38/0.25)/(F37/0.25)</f>
        <v>0.6612244897959184</v>
      </c>
      <c r="G61" s="41">
        <f>G38/G37</f>
        <v>0.43878828340148546</v>
      </c>
      <c r="H61" s="40">
        <f>(H38/0.75)/(H37/0.75)</f>
        <v>0.6084816905485598</v>
      </c>
      <c r="I61" s="40">
        <f>(I38/0.5)/(I37/0.5)</f>
        <v>0.6158497084862881</v>
      </c>
      <c r="J61" s="29">
        <f>(J38/0.25)/(J37/0.25)</f>
        <v>0.6339066339066339</v>
      </c>
      <c r="K61" s="26">
        <f>K38/K37</f>
        <v>0.9720506987325317</v>
      </c>
      <c r="L61" s="26">
        <f>L38/L37</f>
        <v>0.8879438656176908</v>
      </c>
    </row>
    <row r="62" spans="1:12" ht="11.25">
      <c r="A62" s="2" t="s">
        <v>55</v>
      </c>
      <c r="B62" s="2"/>
      <c r="C62" s="42">
        <f>C36/C28</f>
        <v>0.06201202644536298</v>
      </c>
      <c r="D62" s="42">
        <f>(D36/0.75)/D28</f>
        <v>0.061440860215053766</v>
      </c>
      <c r="E62" s="30">
        <f>(E36/0.5)/E28</f>
        <v>0.01386012426318305</v>
      </c>
      <c r="F62" s="30">
        <f>(F36/0.25)/F28</f>
        <v>0.00866595730786812</v>
      </c>
      <c r="G62" s="43">
        <f>G36/G28</f>
        <v>0.049894353252021025</v>
      </c>
      <c r="H62" s="42">
        <f>(H36/0.75)/H28</f>
        <v>0.02438043593747268</v>
      </c>
      <c r="I62" s="42">
        <f>(I36/0.5)/I28</f>
        <v>0.024125543867901268</v>
      </c>
      <c r="J62" s="32">
        <f>(J36/0.25)/J28</f>
        <v>0.025295577974046395</v>
      </c>
      <c r="K62" s="30">
        <f>K36/K28</f>
        <v>0.015228403898400486</v>
      </c>
      <c r="L62" s="30">
        <f>L36/L27</f>
        <v>0.014106241298914775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6</v>
      </c>
      <c r="D64" s="14">
        <v>13</v>
      </c>
      <c r="E64" s="14">
        <v>38</v>
      </c>
      <c r="F64" s="14">
        <v>36</v>
      </c>
      <c r="G64" s="15">
        <v>36</v>
      </c>
      <c r="H64" s="16">
        <v>43</v>
      </c>
      <c r="I64" s="16">
        <v>39</v>
      </c>
      <c r="J64" s="17">
        <v>42</v>
      </c>
      <c r="K64" s="14">
        <v>42</v>
      </c>
      <c r="L64" s="14">
        <v>37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6" ref="C66:L66">C13/C64</f>
        <v>0</v>
      </c>
      <c r="D66" s="14">
        <f t="shared" si="16"/>
        <v>0.23076923076923078</v>
      </c>
      <c r="E66" s="14">
        <f t="shared" si="16"/>
        <v>1695.078947368421</v>
      </c>
      <c r="F66" s="14">
        <f t="shared" si="16"/>
        <v>2179.3333333333335</v>
      </c>
      <c r="G66" s="15">
        <f t="shared" si="16"/>
        <v>2547.3055555555557</v>
      </c>
      <c r="H66" s="16">
        <f t="shared" si="16"/>
        <v>2296.1627906976746</v>
      </c>
      <c r="I66" s="16">
        <f t="shared" si="16"/>
        <v>2609.5384615384614</v>
      </c>
      <c r="J66" s="17">
        <f t="shared" si="16"/>
        <v>2995</v>
      </c>
      <c r="K66" s="14">
        <f t="shared" si="16"/>
        <v>2810.0238095238096</v>
      </c>
      <c r="L66" s="14">
        <f t="shared" si="16"/>
        <v>1936.081081081081</v>
      </c>
    </row>
    <row r="67" spans="1:12" ht="11.25">
      <c r="A67" s="1" t="s">
        <v>60</v>
      </c>
      <c r="C67" s="14">
        <f aca="true" t="shared" si="17" ref="C67:L67">C17/C64</f>
        <v>1315.6666666666667</v>
      </c>
      <c r="D67" s="14">
        <f t="shared" si="17"/>
        <v>596.8461538461538</v>
      </c>
      <c r="E67" s="14">
        <f t="shared" si="17"/>
        <v>10704.605263157895</v>
      </c>
      <c r="F67" s="14">
        <f t="shared" si="17"/>
        <v>6656.444444444444</v>
      </c>
      <c r="G67" s="15">
        <f t="shared" si="17"/>
        <v>10069.027777777777</v>
      </c>
      <c r="H67" s="16">
        <f t="shared" si="17"/>
        <v>21512.116279069767</v>
      </c>
      <c r="I67" s="16">
        <f t="shared" si="17"/>
        <v>4964.025641025641</v>
      </c>
      <c r="J67" s="17">
        <f t="shared" si="17"/>
        <v>6083.333333333333</v>
      </c>
      <c r="K67" s="14">
        <f t="shared" si="17"/>
        <v>5671.428571428572</v>
      </c>
      <c r="L67" s="14">
        <f t="shared" si="17"/>
        <v>3339.3783783783783</v>
      </c>
    </row>
    <row r="68" spans="1:12" ht="11.25">
      <c r="A68" s="2" t="s">
        <v>61</v>
      </c>
      <c r="B68" s="2"/>
      <c r="C68" s="18">
        <f aca="true" t="shared" si="18" ref="C68:L68">(C40/C64)</f>
        <v>459.3333333333333</v>
      </c>
      <c r="D68" s="18">
        <f t="shared" si="18"/>
        <v>258.7692307692308</v>
      </c>
      <c r="E68" s="18">
        <f t="shared" si="18"/>
        <v>31.605263157894736</v>
      </c>
      <c r="F68" s="18">
        <f t="shared" si="18"/>
        <v>13.833333333333334</v>
      </c>
      <c r="G68" s="19">
        <f t="shared" si="18"/>
        <v>165.75</v>
      </c>
      <c r="H68" s="18">
        <f t="shared" si="18"/>
        <v>59.41860465116279</v>
      </c>
      <c r="I68" s="18">
        <f t="shared" si="18"/>
        <v>45.61538461538461</v>
      </c>
      <c r="J68" s="20">
        <f t="shared" si="18"/>
        <v>21.285714285714285</v>
      </c>
      <c r="K68" s="18">
        <f t="shared" si="18"/>
        <v>4.095238095238095</v>
      </c>
      <c r="L68" s="18">
        <f t="shared" si="18"/>
        <v>14.243243243243244</v>
      </c>
    </row>
    <row r="69" spans="1:10" ht="11.25">
      <c r="A69" s="9" t="s">
        <v>62</v>
      </c>
      <c r="G69" s="27"/>
      <c r="H69" s="22"/>
      <c r="I69" s="22"/>
      <c r="J69" s="23"/>
    </row>
    <row r="70" spans="1:13" ht="11.25">
      <c r="A70" s="1" t="s">
        <v>63</v>
      </c>
      <c r="C70" s="26">
        <f>(C11/G11)-1</f>
        <v>-0.9423408675290498</v>
      </c>
      <c r="D70" s="26">
        <f>(D11/H11)-1</f>
        <v>-0.975971289228115</v>
      </c>
      <c r="E70" s="26">
        <f>(E11/I11)-1</f>
        <v>0.9997789210425716</v>
      </c>
      <c r="F70" s="26">
        <f>(F11/J11)-1</f>
        <v>-0.0640840746505219</v>
      </c>
      <c r="G70" s="27">
        <f>(G11/K11)-1</f>
        <v>0.4647473716559991</v>
      </c>
      <c r="H70" s="28">
        <f>(H11/256502)-1</f>
        <v>2.719530452004273</v>
      </c>
      <c r="I70" s="28">
        <f>(I11/218490)-1</f>
        <v>-0.006284040459517581</v>
      </c>
      <c r="J70" s="29">
        <f>(J11/174167)-1</f>
        <v>0.6084103188319256</v>
      </c>
      <c r="K70" s="26">
        <f>(K11/L11)-1</f>
        <v>0.9651143717753721</v>
      </c>
      <c r="L70" s="26">
        <f>(L11/104352)-1</f>
        <v>0.2853035878564858</v>
      </c>
      <c r="M70" s="26"/>
    </row>
    <row r="71" spans="1:12" ht="11.25">
      <c r="A71" s="1" t="s">
        <v>64</v>
      </c>
      <c r="C71" s="26">
        <f aca="true" t="shared" si="19" ref="C71:G73">(C13/G13)-1</f>
        <v>-1</v>
      </c>
      <c r="D71" s="26">
        <f t="shared" si="19"/>
        <v>-0.9999696156378184</v>
      </c>
      <c r="E71" s="26">
        <f t="shared" si="19"/>
        <v>-0.3670852493809692</v>
      </c>
      <c r="F71" s="26">
        <f t="shared" si="19"/>
        <v>-0.3762938230383973</v>
      </c>
      <c r="G71" s="27">
        <f t="shared" si="19"/>
        <v>-0.22299421289431542</v>
      </c>
      <c r="H71" s="28">
        <f>SUM(H72:H73)</f>
        <v>0.20639361799545697</v>
      </c>
      <c r="I71" s="28">
        <f>I13/110803-1</f>
        <v>-0.0815050134021642</v>
      </c>
      <c r="J71" s="29">
        <f>J13/75806-1</f>
        <v>0.6593673324011291</v>
      </c>
      <c r="K71" s="26">
        <f>(K13/L13)-1</f>
        <v>0.6475326306972848</v>
      </c>
      <c r="L71" s="26">
        <f>L13/76716-1</f>
        <v>-0.06623129464518485</v>
      </c>
    </row>
    <row r="72" spans="2:12" ht="11.25">
      <c r="B72" s="1" t="s">
        <v>15</v>
      </c>
      <c r="C72" s="26">
        <f t="shared" si="19"/>
        <v>-1</v>
      </c>
      <c r="D72" s="26">
        <f t="shared" si="19"/>
        <v>-1</v>
      </c>
      <c r="E72" s="26">
        <f t="shared" si="19"/>
        <v>-0.4090582400996622</v>
      </c>
      <c r="F72" s="26">
        <f t="shared" si="19"/>
        <v>-0.3184331154122787</v>
      </c>
      <c r="G72" s="27">
        <f t="shared" si="19"/>
        <v>-0.03749293144487842</v>
      </c>
      <c r="H72" s="28">
        <f>(H14/91434)-1</f>
        <v>-0.11049500185926464</v>
      </c>
      <c r="I72" s="28">
        <f>(I14/96831)-1</f>
        <v>-0.1378587435841827</v>
      </c>
      <c r="J72" s="29">
        <f>(J14/65184)-1</f>
        <v>0.4290776877761413</v>
      </c>
      <c r="K72" s="26">
        <f>(K14/L14)-1</f>
        <v>0.22136558569845333</v>
      </c>
      <c r="L72" s="26">
        <f>(L14/69645)-1</f>
        <v>-0.10605212147318543</v>
      </c>
    </row>
    <row r="73" spans="2:12" ht="11.25">
      <c r="B73" s="1" t="s">
        <v>16</v>
      </c>
      <c r="C73" s="26">
        <f t="shared" si="19"/>
        <v>-1</v>
      </c>
      <c r="D73" s="26">
        <f t="shared" si="19"/>
        <v>-0.9998276258331418</v>
      </c>
      <c r="E73" s="26">
        <f t="shared" si="19"/>
        <v>-0.1755057408419901</v>
      </c>
      <c r="F73" s="26">
        <f t="shared" si="19"/>
        <v>-0.541440696142415</v>
      </c>
      <c r="G73" s="27">
        <f t="shared" si="19"/>
        <v>-0.5590042877560744</v>
      </c>
      <c r="H73" s="28">
        <f>(H15/13216)-1</f>
        <v>0.3168886198547216</v>
      </c>
      <c r="I73" s="28">
        <f>(I15/13972)-1</f>
        <v>0.3090466647580876</v>
      </c>
      <c r="J73" s="29">
        <f>(J15/10622)-1</f>
        <v>2.072585200527208</v>
      </c>
      <c r="K73" s="26">
        <f>(K15/L15)-1</f>
        <v>3.4773890784982937</v>
      </c>
      <c r="L73" s="26">
        <f>(L15/7071)-1</f>
        <v>0.3259793522839769</v>
      </c>
    </row>
    <row r="74" spans="1:12" ht="11.25">
      <c r="A74" s="1" t="s">
        <v>65</v>
      </c>
      <c r="C74" s="26">
        <f aca="true" t="shared" si="20" ref="C74:G75">(C17/G17)-1</f>
        <v>-0.9782225471398817</v>
      </c>
      <c r="D74" s="26">
        <f t="shared" si="20"/>
        <v>-0.9916120823202933</v>
      </c>
      <c r="E74" s="26">
        <f t="shared" si="20"/>
        <v>1.1011430962256648</v>
      </c>
      <c r="F74" s="26">
        <f t="shared" si="20"/>
        <v>-0.06210567514677101</v>
      </c>
      <c r="G74" s="27">
        <f t="shared" si="20"/>
        <v>0.5217674223341731</v>
      </c>
      <c r="H74" s="28">
        <f>H17/246506-1</f>
        <v>2.7525293501983725</v>
      </c>
      <c r="I74" s="28">
        <f>I17/207012-1</f>
        <v>-0.06480300658898996</v>
      </c>
      <c r="J74" s="29">
        <f>J17/161401-1</f>
        <v>0.5830137359743743</v>
      </c>
      <c r="K74" s="26">
        <f>(K17/L17)-1</f>
        <v>0.9278551599666551</v>
      </c>
      <c r="L74" s="26">
        <f>L17/97935-1</f>
        <v>0.26162250472252</v>
      </c>
    </row>
    <row r="75" spans="2:12" ht="11.25">
      <c r="B75" s="1" t="s">
        <v>15</v>
      </c>
      <c r="C75" s="26">
        <f t="shared" si="20"/>
        <v>-1</v>
      </c>
      <c r="D75" s="26">
        <f t="shared" si="20"/>
        <v>-1</v>
      </c>
      <c r="E75" s="26">
        <f t="shared" si="20"/>
        <v>-0.6026452130300292</v>
      </c>
      <c r="F75" s="26">
        <f t="shared" si="20"/>
        <v>-0.04490026959349902</v>
      </c>
      <c r="G75" s="27">
        <f t="shared" si="20"/>
        <v>-0.5117641927630587</v>
      </c>
      <c r="H75" s="28">
        <f>(H18/173416)-1</f>
        <v>-0.5743357014347004</v>
      </c>
      <c r="I75" s="28">
        <f>(I18/159650)-1</f>
        <v>-0.5079423739430002</v>
      </c>
      <c r="J75" s="29">
        <f>(J18/117668)-1</f>
        <v>-0.11419417343712823</v>
      </c>
      <c r="K75" s="26">
        <f>(K18/L18)-1</f>
        <v>0.6331200787401574</v>
      </c>
      <c r="L75" s="26">
        <f>(L18/61813)-1</f>
        <v>0.24918706420979397</v>
      </c>
    </row>
    <row r="76" spans="2:14" ht="11.25">
      <c r="B76" s="1" t="s">
        <v>16</v>
      </c>
      <c r="C76" s="26">
        <f>(C22/G22)-1</f>
        <v>-0.9737668526537218</v>
      </c>
      <c r="D76" s="26">
        <f>(D22/H22)-1</f>
        <v>-0.9908846762938144</v>
      </c>
      <c r="E76" s="26">
        <f>(E22/I22)-1</f>
        <v>2.2646036161335186</v>
      </c>
      <c r="F76" s="26">
        <f>(F22/J22)-1</f>
        <v>-0.0739609569706946</v>
      </c>
      <c r="G76" s="27">
        <f>(G22/K22)-1</f>
        <v>1.6844340169674479</v>
      </c>
      <c r="H76" s="28">
        <f>(H22/73029)-1</f>
        <v>10.655698421175149</v>
      </c>
      <c r="I76" s="28">
        <f>(I22/47362)-1</f>
        <v>1.4289514800895233</v>
      </c>
      <c r="J76" s="29">
        <f>(J22/43733)-1</f>
        <v>2.458921180801683</v>
      </c>
      <c r="K76" s="26">
        <f>(K22/L22)-1</f>
        <v>1.4189594527524223</v>
      </c>
      <c r="L76" s="26">
        <f>(L22/36123)-1</f>
        <v>0.28286687152229884</v>
      </c>
      <c r="N76" s="36"/>
    </row>
    <row r="77" spans="1:12" ht="11.25">
      <c r="A77" s="1" t="s">
        <v>66</v>
      </c>
      <c r="C77" s="26">
        <f>(C25/G25)-1</f>
        <v>0.26073793755912966</v>
      </c>
      <c r="D77" s="26">
        <f>(D25/H25)-1</f>
        <v>0.9473169368362213</v>
      </c>
      <c r="E77" s="26">
        <f>(E25/I25)-1</f>
        <v>0.8462986198243412</v>
      </c>
      <c r="F77" s="26">
        <f>(F25/J25)-1</f>
        <v>1.1468192397207138</v>
      </c>
      <c r="G77" s="27">
        <f>(G25/K25)-1</f>
        <v>1.4800563115908023</v>
      </c>
      <c r="H77" s="28">
        <f>(H25/4670)-1</f>
        <v>0.5323340471092077</v>
      </c>
      <c r="I77" s="28">
        <f>(I25/4243)-1</f>
        <v>0.5027103464529814</v>
      </c>
      <c r="J77" s="29">
        <f>(J25/4244)-1</f>
        <v>0.2148916116870876</v>
      </c>
      <c r="K77" s="26">
        <f>(K25/L25)-1</f>
        <v>0.04179907113175263</v>
      </c>
      <c r="L77" s="26">
        <f>(L25/3564)-1</f>
        <v>0.1478675645342311</v>
      </c>
    </row>
    <row r="78" spans="1:12" ht="11.25">
      <c r="A78" s="2" t="s">
        <v>67</v>
      </c>
      <c r="B78" s="2"/>
      <c r="C78" s="30">
        <f>(C40/G40)-1</f>
        <v>-0.5381263616557734</v>
      </c>
      <c r="D78" s="30">
        <f>(D40/H40)-1</f>
        <v>0.31663405088062624</v>
      </c>
      <c r="E78" s="30">
        <f>(E40/I40)-1</f>
        <v>-0.3249016301292861</v>
      </c>
      <c r="F78" s="30">
        <f>(F40/J40)-1</f>
        <v>-0.4429530201342282</v>
      </c>
      <c r="G78" s="31">
        <f>(G40/K40)-1</f>
        <v>33.69186046511628</v>
      </c>
      <c r="H78" s="30">
        <f>(H40/578)-1</f>
        <v>3.420415224913495</v>
      </c>
      <c r="I78" s="30">
        <f>(I40/152)-1</f>
        <v>10.703947368421053</v>
      </c>
      <c r="J78" s="32">
        <f>(J40/-82)-1</f>
        <v>-11.902439024390244</v>
      </c>
      <c r="K78" s="30">
        <f>(K40/L40)-1</f>
        <v>-0.6736242884250474</v>
      </c>
      <c r="L78" s="30">
        <f>(L40/1062)-1</f>
        <v>-0.5037664783427496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3940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2002-03-19T20:08:14Z</dcterms:created>
  <dcterms:modified xsi:type="dcterms:W3CDTF">2002-04-01T21:01:19Z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