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Universal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<sst xmlns="http://schemas.openxmlformats.org/spreadsheetml/2006/main" count="84" uniqueCount="68">
  <si>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18-21</t>
  </si>
  <si>
    <t>BANCO UNIVERSAL, S.A.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</si>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</sst>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11.421875" defaultRowHeight="12.75"/>
  <cols>
    <col min="1" max="1" width="3.7109375" style="1" customWidth="1"/>
    <col min="2" max="2" width="36.8515625" style="9" customWidth="1"/>
    <col min="3" max="3" width="8.7109375" style="1" customWidth="1"/>
    <col min="4" max="4" width="9.8515625" style="1" customWidth="1"/>
    <col min="5" max="5" width="6.8515625" style="1" bestFit="1" customWidth="1"/>
    <col min="6" max="6" width="7.140625" style="1" bestFit="1" customWidth="1"/>
    <col min="7" max="7" width="9.00390625" style="1" customWidth="1"/>
    <col min="8" max="8" width="9.57421875" style="1" customWidth="1"/>
    <col min="9" max="11" width="7.14062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41"/>
      <c r="C2" s="41"/>
      <c r="D2" s="41"/>
      <c r="E2" s="41"/>
      <c r="F2" s="41" t="s">
        <v>0</v>
      </c>
      <c r="H2" s="41"/>
      <c r="I2" s="41"/>
      <c r="J2" s="41"/>
      <c r="K2" s="41"/>
      <c r="L2" s="41"/>
    </row>
    <row r="3" spans="2:12" ht="11.25">
      <c r="B3" s="41"/>
      <c r="C3" s="41"/>
      <c r="D3" s="41"/>
      <c r="E3" s="41"/>
      <c r="F3" s="41" t="s">
        <v>1</v>
      </c>
      <c r="H3" s="41"/>
      <c r="I3" s="41"/>
      <c r="J3" s="41"/>
      <c r="K3" s="41"/>
      <c r="L3" s="41"/>
    </row>
    <row r="4" spans="2:12" ht="11.25">
      <c r="B4" s="41"/>
      <c r="C4" s="41"/>
      <c r="D4" s="41"/>
      <c r="E4" s="41"/>
      <c r="F4" s="41" t="s">
        <v>2</v>
      </c>
      <c r="H4" s="41"/>
      <c r="I4" s="41"/>
      <c r="J4" s="41"/>
      <c r="K4" s="41"/>
      <c r="L4" s="41"/>
    </row>
    <row r="5" spans="2:12" ht="11.25">
      <c r="B5" s="40"/>
      <c r="C5" s="40"/>
      <c r="D5" s="40"/>
      <c r="E5" s="40"/>
      <c r="F5" s="40" t="s">
        <v>3</v>
      </c>
      <c r="H5" s="40"/>
      <c r="I5" s="40"/>
      <c r="J5" s="40"/>
      <c r="K5" s="40"/>
      <c r="L5" s="40"/>
    </row>
    <row r="6" spans="1:12" ht="11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8">
        <v>2001</v>
      </c>
      <c r="D8" s="48"/>
      <c r="E8" s="48"/>
      <c r="F8" s="49"/>
      <c r="G8" s="47">
        <v>2000</v>
      </c>
      <c r="H8" s="48"/>
      <c r="I8" s="48"/>
      <c r="J8" s="49"/>
      <c r="K8" s="47" t="s">
        <v>4</v>
      </c>
      <c r="L8" s="49"/>
    </row>
    <row r="9" spans="1:12" s="4" customFormat="1" ht="11.25">
      <c r="A9" s="42"/>
      <c r="B9" s="42"/>
      <c r="C9" s="42" t="s">
        <v>5</v>
      </c>
      <c r="D9" s="42" t="s">
        <v>6</v>
      </c>
      <c r="E9" s="42" t="s">
        <v>7</v>
      </c>
      <c r="F9" s="42" t="s">
        <v>8</v>
      </c>
      <c r="G9" s="43" t="s">
        <v>5</v>
      </c>
      <c r="H9" s="42" t="s">
        <v>6</v>
      </c>
      <c r="I9" s="42" t="s">
        <v>7</v>
      </c>
      <c r="J9" s="44" t="s">
        <v>8</v>
      </c>
      <c r="K9" s="45" t="s">
        <v>9</v>
      </c>
      <c r="L9" s="46" t="s">
        <v>10</v>
      </c>
    </row>
    <row r="10" spans="1:12" ht="11.25">
      <c r="A10" s="4" t="s">
        <v>11</v>
      </c>
      <c r="B10" s="5"/>
      <c r="C10" s="4"/>
      <c r="D10" s="4"/>
      <c r="E10" s="4"/>
      <c r="F10" s="4"/>
      <c r="G10" s="6"/>
      <c r="H10" s="7"/>
      <c r="I10" s="7"/>
      <c r="J10" s="8"/>
      <c r="K10" s="6"/>
      <c r="L10" s="8"/>
    </row>
    <row r="11" spans="1:12" ht="11.25">
      <c r="A11" s="1" t="s">
        <v>12</v>
      </c>
      <c r="C11" s="10">
        <v>51842</v>
      </c>
      <c r="D11" s="10">
        <v>49708</v>
      </c>
      <c r="E11" s="10">
        <v>48881</v>
      </c>
      <c r="F11" s="10">
        <v>46754</v>
      </c>
      <c r="G11" s="11">
        <v>46251</v>
      </c>
      <c r="H11" s="12">
        <v>43679</v>
      </c>
      <c r="I11" s="12">
        <v>44835</v>
      </c>
      <c r="J11" s="13">
        <v>39750</v>
      </c>
      <c r="K11" s="11">
        <v>37690</v>
      </c>
      <c r="L11" s="13">
        <v>29432</v>
      </c>
    </row>
    <row r="12" spans="1:12" ht="11.25">
      <c r="A12" s="1" t="s">
        <v>13</v>
      </c>
      <c r="C12" s="10">
        <v>12832</v>
      </c>
      <c r="D12" s="10">
        <v>10441</v>
      </c>
      <c r="E12" s="10">
        <v>9008</v>
      </c>
      <c r="F12" s="10">
        <v>7271</v>
      </c>
      <c r="G12" s="11">
        <v>7477</v>
      </c>
      <c r="H12" s="12">
        <v>6674</v>
      </c>
      <c r="I12" s="12">
        <v>9619</v>
      </c>
      <c r="J12" s="13">
        <v>7093</v>
      </c>
      <c r="K12" s="11">
        <v>6497</v>
      </c>
      <c r="L12" s="13">
        <v>5112</v>
      </c>
    </row>
    <row r="13" spans="1:12" ht="11.25">
      <c r="A13" s="1" t="s">
        <v>14</v>
      </c>
      <c r="C13" s="10">
        <f aca="true" t="shared" si="0" ref="C13:L13">C14+C15</f>
        <v>35482</v>
      </c>
      <c r="D13" s="10">
        <f t="shared" si="0"/>
        <v>36633</v>
      </c>
      <c r="E13" s="10">
        <f t="shared" si="0"/>
        <v>37379</v>
      </c>
      <c r="F13" s="10">
        <f t="shared" si="0"/>
        <v>37098</v>
      </c>
      <c r="G13" s="11">
        <f t="shared" si="0"/>
        <v>36366</v>
      </c>
      <c r="H13" s="12">
        <f t="shared" si="0"/>
        <v>34409</v>
      </c>
      <c r="I13" s="12">
        <f t="shared" si="0"/>
        <v>32902</v>
      </c>
      <c r="J13" s="13">
        <f t="shared" si="0"/>
        <v>30231</v>
      </c>
      <c r="K13" s="11">
        <f t="shared" si="0"/>
        <v>29053</v>
      </c>
      <c r="L13" s="13">
        <f t="shared" si="0"/>
        <v>21219</v>
      </c>
    </row>
    <row r="14" spans="2:12" ht="11.25">
      <c r="B14" s="9" t="s">
        <v>15</v>
      </c>
      <c r="C14" s="10">
        <v>35482</v>
      </c>
      <c r="D14" s="10">
        <v>36633</v>
      </c>
      <c r="E14" s="10">
        <v>37379</v>
      </c>
      <c r="F14" s="10">
        <v>37098</v>
      </c>
      <c r="G14" s="11">
        <v>36366</v>
      </c>
      <c r="H14" s="12">
        <v>34409</v>
      </c>
      <c r="I14" s="12">
        <v>32902</v>
      </c>
      <c r="J14" s="13">
        <v>30231</v>
      </c>
      <c r="K14" s="11">
        <v>29053</v>
      </c>
      <c r="L14" s="13">
        <v>21219</v>
      </c>
    </row>
    <row r="15" spans="2:12" ht="11.25">
      <c r="B15" s="9" t="s">
        <v>16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  <c r="H15" s="12">
        <v>0</v>
      </c>
      <c r="I15" s="12">
        <v>0</v>
      </c>
      <c r="J15" s="13">
        <v>0</v>
      </c>
      <c r="K15" s="11">
        <v>0</v>
      </c>
      <c r="L15" s="13">
        <v>0</v>
      </c>
    </row>
    <row r="16" spans="1:12" ht="11.25">
      <c r="A16" s="1" t="s">
        <v>17</v>
      </c>
      <c r="C16" s="10">
        <v>1312</v>
      </c>
      <c r="D16" s="10">
        <v>836</v>
      </c>
      <c r="E16" s="10">
        <v>834</v>
      </c>
      <c r="F16" s="10">
        <v>836</v>
      </c>
      <c r="G16" s="11">
        <v>824</v>
      </c>
      <c r="H16" s="12">
        <v>826</v>
      </c>
      <c r="I16" s="12">
        <v>673</v>
      </c>
      <c r="J16" s="13">
        <v>686</v>
      </c>
      <c r="K16" s="11">
        <v>542</v>
      </c>
      <c r="L16" s="13">
        <v>431</v>
      </c>
    </row>
    <row r="17" spans="1:12" ht="11.25">
      <c r="A17" s="1" t="s">
        <v>18</v>
      </c>
      <c r="C17" s="10">
        <f aca="true" t="shared" si="1" ref="C17:L17">C18+C22</f>
        <v>39721</v>
      </c>
      <c r="D17" s="10">
        <f t="shared" si="1"/>
        <v>37323</v>
      </c>
      <c r="E17" s="10">
        <f t="shared" si="1"/>
        <v>36437</v>
      </c>
      <c r="F17" s="10">
        <f t="shared" si="1"/>
        <v>34588</v>
      </c>
      <c r="G17" s="11">
        <f t="shared" si="1"/>
        <v>34193</v>
      </c>
      <c r="H17" s="12">
        <f t="shared" si="1"/>
        <v>32046</v>
      </c>
      <c r="I17" s="12">
        <f t="shared" si="1"/>
        <v>33218</v>
      </c>
      <c r="J17" s="13">
        <f t="shared" si="1"/>
        <v>28807</v>
      </c>
      <c r="K17" s="11">
        <f t="shared" si="1"/>
        <v>26729</v>
      </c>
      <c r="L17" s="13">
        <f t="shared" si="1"/>
        <v>19708</v>
      </c>
    </row>
    <row r="18" spans="2:12" ht="11.25">
      <c r="B18" s="9" t="s">
        <v>15</v>
      </c>
      <c r="C18" s="10">
        <f aca="true" t="shared" si="2" ref="C18:L18">SUM(C19:C21)</f>
        <v>38721</v>
      </c>
      <c r="D18" s="10">
        <f t="shared" si="2"/>
        <v>35323</v>
      </c>
      <c r="E18" s="10">
        <f t="shared" si="2"/>
        <v>34437</v>
      </c>
      <c r="F18" s="10">
        <f t="shared" si="2"/>
        <v>32588</v>
      </c>
      <c r="G18" s="11">
        <f t="shared" si="2"/>
        <v>34193</v>
      </c>
      <c r="H18" s="12">
        <f t="shared" si="2"/>
        <v>32046</v>
      </c>
      <c r="I18" s="12">
        <f t="shared" si="2"/>
        <v>31718</v>
      </c>
      <c r="J18" s="13">
        <f t="shared" si="2"/>
        <v>27307</v>
      </c>
      <c r="K18" s="11">
        <f t="shared" si="2"/>
        <v>25229</v>
      </c>
      <c r="L18" s="13">
        <f t="shared" si="2"/>
        <v>18208</v>
      </c>
    </row>
    <row r="19" spans="2:12" ht="11.25">
      <c r="B19" s="9" t="s">
        <v>19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2">
        <v>0</v>
      </c>
      <c r="I19" s="12">
        <v>0</v>
      </c>
      <c r="J19" s="13">
        <v>0</v>
      </c>
      <c r="K19" s="11">
        <v>0</v>
      </c>
      <c r="L19" s="13">
        <v>0</v>
      </c>
    </row>
    <row r="20" spans="2:12" ht="11.25">
      <c r="B20" s="9" t="s">
        <v>20</v>
      </c>
      <c r="C20" s="10">
        <v>34699</v>
      </c>
      <c r="D20" s="10">
        <v>33295</v>
      </c>
      <c r="E20" s="10">
        <v>31383</v>
      </c>
      <c r="F20" s="10">
        <v>29541</v>
      </c>
      <c r="G20" s="11">
        <v>30135</v>
      </c>
      <c r="H20" s="12">
        <v>29992</v>
      </c>
      <c r="I20" s="12">
        <v>28644</v>
      </c>
      <c r="J20" s="13">
        <v>24112</v>
      </c>
      <c r="K20" s="11">
        <v>22159</v>
      </c>
      <c r="L20" s="13">
        <v>18176</v>
      </c>
    </row>
    <row r="21" spans="2:12" ht="11.25">
      <c r="B21" s="9" t="s">
        <v>21</v>
      </c>
      <c r="C21" s="10">
        <v>4022</v>
      </c>
      <c r="D21" s="10">
        <v>2028</v>
      </c>
      <c r="E21" s="10">
        <v>3054</v>
      </c>
      <c r="F21" s="10">
        <v>3047</v>
      </c>
      <c r="G21" s="11">
        <v>4058</v>
      </c>
      <c r="H21" s="12">
        <v>2054</v>
      </c>
      <c r="I21" s="12">
        <v>3074</v>
      </c>
      <c r="J21" s="13">
        <v>3195</v>
      </c>
      <c r="K21" s="11">
        <v>3070</v>
      </c>
      <c r="L21" s="13">
        <v>32</v>
      </c>
    </row>
    <row r="22" spans="2:12" ht="11.25">
      <c r="B22" s="9" t="s">
        <v>16</v>
      </c>
      <c r="C22" s="10">
        <f aca="true" t="shared" si="3" ref="C22:L22">SUM(C23:C24)</f>
        <v>1000</v>
      </c>
      <c r="D22" s="10">
        <f t="shared" si="3"/>
        <v>2000</v>
      </c>
      <c r="E22" s="10">
        <f t="shared" si="3"/>
        <v>2000</v>
      </c>
      <c r="F22" s="10">
        <f t="shared" si="3"/>
        <v>2000</v>
      </c>
      <c r="G22" s="11">
        <f t="shared" si="3"/>
        <v>0</v>
      </c>
      <c r="H22" s="12">
        <f t="shared" si="3"/>
        <v>0</v>
      </c>
      <c r="I22" s="12">
        <f t="shared" si="3"/>
        <v>1500</v>
      </c>
      <c r="J22" s="13">
        <f t="shared" si="3"/>
        <v>1500</v>
      </c>
      <c r="K22" s="11">
        <f t="shared" si="3"/>
        <v>1500</v>
      </c>
      <c r="L22" s="13">
        <f t="shared" si="3"/>
        <v>1500</v>
      </c>
    </row>
    <row r="23" spans="2:12" ht="11.25">
      <c r="B23" s="9" t="s">
        <v>20</v>
      </c>
      <c r="C23" s="10">
        <v>0</v>
      </c>
      <c r="D23" s="10">
        <v>0</v>
      </c>
      <c r="E23" s="10">
        <v>0</v>
      </c>
      <c r="F23" s="10">
        <v>0</v>
      </c>
      <c r="G23" s="11">
        <v>0</v>
      </c>
      <c r="H23" s="12">
        <v>0</v>
      </c>
      <c r="I23" s="12">
        <v>0</v>
      </c>
      <c r="J23" s="13">
        <v>0</v>
      </c>
      <c r="K23" s="11">
        <v>0</v>
      </c>
      <c r="L23" s="13">
        <v>0</v>
      </c>
    </row>
    <row r="24" spans="2:12" ht="11.25">
      <c r="B24" s="9" t="s">
        <v>21</v>
      </c>
      <c r="C24" s="10">
        <v>1000</v>
      </c>
      <c r="D24" s="10">
        <v>2000</v>
      </c>
      <c r="E24" s="10">
        <v>2000</v>
      </c>
      <c r="F24" s="10">
        <v>2000</v>
      </c>
      <c r="G24" s="11">
        <v>0</v>
      </c>
      <c r="H24" s="12">
        <v>0</v>
      </c>
      <c r="I24" s="12">
        <v>1500</v>
      </c>
      <c r="J24" s="13">
        <v>1500</v>
      </c>
      <c r="K24" s="11">
        <v>1500</v>
      </c>
      <c r="L24" s="13">
        <v>1500</v>
      </c>
    </row>
    <row r="25" spans="1:12" ht="11.25">
      <c r="A25" s="2" t="s">
        <v>22</v>
      </c>
      <c r="B25" s="2"/>
      <c r="C25" s="14">
        <v>9686</v>
      </c>
      <c r="D25" s="14">
        <v>9650</v>
      </c>
      <c r="E25" s="14">
        <v>9351</v>
      </c>
      <c r="F25" s="14">
        <v>9177</v>
      </c>
      <c r="G25" s="15">
        <v>9290</v>
      </c>
      <c r="H25" s="14">
        <v>9005</v>
      </c>
      <c r="I25" s="14">
        <v>8660</v>
      </c>
      <c r="J25" s="16">
        <v>8387</v>
      </c>
      <c r="K25" s="15">
        <v>8411</v>
      </c>
      <c r="L25" s="16">
        <v>7744</v>
      </c>
    </row>
    <row r="26" spans="1:12" ht="11.25">
      <c r="A26" s="4" t="s">
        <v>23</v>
      </c>
      <c r="C26" s="10"/>
      <c r="D26" s="10"/>
      <c r="E26" s="10"/>
      <c r="F26" s="10"/>
      <c r="G26" s="11"/>
      <c r="H26" s="12"/>
      <c r="I26" s="12"/>
      <c r="J26" s="13"/>
      <c r="K26" s="11"/>
      <c r="L26" s="13"/>
    </row>
    <row r="27" spans="1:12" ht="11.25">
      <c r="A27" s="1" t="s">
        <v>12</v>
      </c>
      <c r="C27" s="10">
        <f>(C11+G11)/2</f>
        <v>49046.5</v>
      </c>
      <c r="D27" s="10">
        <f>(D11+H11)/2</f>
        <v>46693.5</v>
      </c>
      <c r="E27" s="10">
        <f>(E11+I11)/2</f>
        <v>46858</v>
      </c>
      <c r="F27" s="10">
        <f>+(F11+J11)/2</f>
        <v>43252</v>
      </c>
      <c r="G27" s="11">
        <f>+(G11+K11)/2</f>
        <v>41970.5</v>
      </c>
      <c r="H27" s="12">
        <v>40148</v>
      </c>
      <c r="I27" s="12">
        <v>38259</v>
      </c>
      <c r="J27" s="13">
        <v>35781</v>
      </c>
      <c r="K27" s="11">
        <f>(K11+L11)/2</f>
        <v>33561</v>
      </c>
      <c r="L27" s="13">
        <f>(L11+19747)/2</f>
        <v>24589.5</v>
      </c>
    </row>
    <row r="28" spans="1:12" ht="11.25">
      <c r="A28" s="1" t="s">
        <v>24</v>
      </c>
      <c r="C28" s="10">
        <f aca="true" t="shared" si="4" ref="C28:L28">C29+C30</f>
        <v>36992</v>
      </c>
      <c r="D28" s="10">
        <f t="shared" si="4"/>
        <v>36352</v>
      </c>
      <c r="E28" s="10">
        <f t="shared" si="4"/>
        <v>35894</v>
      </c>
      <c r="F28" s="10">
        <f t="shared" si="4"/>
        <v>34425.5</v>
      </c>
      <c r="G28" s="11">
        <f t="shared" si="4"/>
        <v>33392.5</v>
      </c>
      <c r="H28" s="12">
        <f t="shared" si="4"/>
        <v>31478</v>
      </c>
      <c r="I28" s="12">
        <f t="shared" si="4"/>
        <v>29537</v>
      </c>
      <c r="J28" s="13">
        <f t="shared" si="4"/>
        <v>27159</v>
      </c>
      <c r="K28" s="11">
        <f t="shared" si="4"/>
        <v>25622.5</v>
      </c>
      <c r="L28" s="13">
        <f t="shared" si="4"/>
        <v>16999.5</v>
      </c>
    </row>
    <row r="29" spans="2:12" ht="11.25">
      <c r="B29" s="9" t="s">
        <v>14</v>
      </c>
      <c r="C29" s="10">
        <f>(C13+G13)/2</f>
        <v>35924</v>
      </c>
      <c r="D29" s="10">
        <f>(D13+H13)/2</f>
        <v>35521</v>
      </c>
      <c r="E29" s="10">
        <f>(E13+I13)/2</f>
        <v>35140.5</v>
      </c>
      <c r="F29" s="10">
        <f>+(F13+J13)/2</f>
        <v>33664.5</v>
      </c>
      <c r="G29" s="11">
        <f>+(G13+K13)/2</f>
        <v>32709.5</v>
      </c>
      <c r="H29" s="12">
        <v>30846</v>
      </c>
      <c r="I29" s="12">
        <v>28982</v>
      </c>
      <c r="J29" s="13">
        <v>26599</v>
      </c>
      <c r="K29" s="11">
        <f>(K13+L13)/2</f>
        <v>25136</v>
      </c>
      <c r="L29" s="13">
        <f>(L13+11930)/2</f>
        <v>16574.5</v>
      </c>
    </row>
    <row r="30" spans="2:12" ht="11.25">
      <c r="B30" s="9" t="s">
        <v>17</v>
      </c>
      <c r="C30" s="10">
        <f>(C16+G16)/2</f>
        <v>1068</v>
      </c>
      <c r="D30" s="10">
        <f>(D16+H16)/2</f>
        <v>831</v>
      </c>
      <c r="E30" s="10">
        <f>(E16+I16)/2</f>
        <v>753.5</v>
      </c>
      <c r="F30" s="10">
        <f>+(F16+J16)/2</f>
        <v>761</v>
      </c>
      <c r="G30" s="11">
        <f>+(G16+K16)/2</f>
        <v>683</v>
      </c>
      <c r="H30" s="12">
        <v>632</v>
      </c>
      <c r="I30" s="12">
        <v>555</v>
      </c>
      <c r="J30" s="13">
        <v>560</v>
      </c>
      <c r="K30" s="11">
        <f>(K16+L16)/2</f>
        <v>486.5</v>
      </c>
      <c r="L30" s="13">
        <f>(L16+419)/2</f>
        <v>425</v>
      </c>
    </row>
    <row r="31" spans="1:12" ht="11.25">
      <c r="A31" s="2" t="s">
        <v>22</v>
      </c>
      <c r="B31" s="2"/>
      <c r="C31" s="14">
        <f>(C25+G25)/2</f>
        <v>9488</v>
      </c>
      <c r="D31" s="14">
        <f>(D25+H25)/2</f>
        <v>9327.5</v>
      </c>
      <c r="E31" s="14">
        <f>(E25+I25)/2</f>
        <v>9005.5</v>
      </c>
      <c r="F31" s="14">
        <f>+(F25+J25)/2</f>
        <v>8782</v>
      </c>
      <c r="G31" s="15">
        <f>+(G25+K25)/2</f>
        <v>8850.5</v>
      </c>
      <c r="H31" s="14">
        <v>8625</v>
      </c>
      <c r="I31" s="14">
        <v>8331</v>
      </c>
      <c r="J31" s="16">
        <v>8164</v>
      </c>
      <c r="K31" s="15">
        <f>(K25+L25)/2</f>
        <v>8077.5</v>
      </c>
      <c r="L31" s="16">
        <f>(L25+4020)/2</f>
        <v>5882</v>
      </c>
    </row>
    <row r="32" spans="1:12" ht="11.25">
      <c r="A32" s="4" t="s">
        <v>25</v>
      </c>
      <c r="C32" s="10"/>
      <c r="D32" s="10"/>
      <c r="E32" s="10"/>
      <c r="F32" s="10"/>
      <c r="G32" s="17"/>
      <c r="H32" s="9"/>
      <c r="I32" s="9"/>
      <c r="J32" s="18"/>
      <c r="K32" s="17"/>
      <c r="L32" s="18"/>
    </row>
    <row r="33" spans="1:12" ht="11.25">
      <c r="A33" s="1" t="s">
        <v>26</v>
      </c>
      <c r="C33" s="10">
        <v>4840</v>
      </c>
      <c r="D33" s="10">
        <v>3689</v>
      </c>
      <c r="E33" s="10">
        <v>2474</v>
      </c>
      <c r="F33" s="10">
        <v>1226</v>
      </c>
      <c r="G33" s="11">
        <v>4555</v>
      </c>
      <c r="H33" s="12">
        <v>3310</v>
      </c>
      <c r="I33" s="12">
        <v>2115</v>
      </c>
      <c r="J33" s="13">
        <v>1019</v>
      </c>
      <c r="K33" s="11">
        <v>3443</v>
      </c>
      <c r="L33" s="13">
        <v>2581</v>
      </c>
    </row>
    <row r="34" spans="1:12" ht="11.25">
      <c r="A34" s="1" t="s">
        <v>27</v>
      </c>
      <c r="C34" s="10">
        <v>2761</v>
      </c>
      <c r="D34" s="10">
        <v>2113</v>
      </c>
      <c r="E34" s="10">
        <v>1419</v>
      </c>
      <c r="F34" s="10">
        <v>694</v>
      </c>
      <c r="G34" s="11">
        <v>2493</v>
      </c>
      <c r="H34" s="12">
        <v>1832</v>
      </c>
      <c r="I34" s="12">
        <v>1165</v>
      </c>
      <c r="J34" s="13">
        <v>568</v>
      </c>
      <c r="K34" s="11">
        <v>1870</v>
      </c>
      <c r="L34" s="13">
        <v>1221</v>
      </c>
    </row>
    <row r="35" spans="1:12" ht="11.25">
      <c r="A35" s="1" t="s">
        <v>28</v>
      </c>
      <c r="C35" s="10">
        <f aca="true" t="shared" si="5" ref="C35:L35">C33-C34</f>
        <v>2079</v>
      </c>
      <c r="D35" s="10">
        <f t="shared" si="5"/>
        <v>1576</v>
      </c>
      <c r="E35" s="10">
        <f t="shared" si="5"/>
        <v>1055</v>
      </c>
      <c r="F35" s="10">
        <f t="shared" si="5"/>
        <v>532</v>
      </c>
      <c r="G35" s="11">
        <f t="shared" si="5"/>
        <v>2062</v>
      </c>
      <c r="H35" s="12">
        <f t="shared" si="5"/>
        <v>1478</v>
      </c>
      <c r="I35" s="12">
        <f t="shared" si="5"/>
        <v>950</v>
      </c>
      <c r="J35" s="13">
        <f t="shared" si="5"/>
        <v>451</v>
      </c>
      <c r="K35" s="11">
        <f t="shared" si="5"/>
        <v>1573</v>
      </c>
      <c r="L35" s="13">
        <f t="shared" si="5"/>
        <v>1360</v>
      </c>
    </row>
    <row r="36" spans="1:12" ht="11.25">
      <c r="A36" s="1" t="s">
        <v>29</v>
      </c>
      <c r="C36" s="10">
        <v>1168</v>
      </c>
      <c r="D36" s="10">
        <v>847</v>
      </c>
      <c r="E36" s="10">
        <v>552</v>
      </c>
      <c r="F36" s="10">
        <v>300</v>
      </c>
      <c r="G36" s="11">
        <v>810</v>
      </c>
      <c r="H36" s="12">
        <v>586</v>
      </c>
      <c r="I36" s="12">
        <v>378</v>
      </c>
      <c r="J36" s="13">
        <v>155</v>
      </c>
      <c r="K36" s="11">
        <v>391</v>
      </c>
      <c r="L36" s="13">
        <v>52</v>
      </c>
    </row>
    <row r="37" spans="1:12" ht="11.25">
      <c r="A37" s="1" t="s">
        <v>30</v>
      </c>
      <c r="C37" s="10">
        <f aca="true" t="shared" si="6" ref="C37:L37">C35+C36</f>
        <v>3247</v>
      </c>
      <c r="D37" s="10">
        <f t="shared" si="6"/>
        <v>2423</v>
      </c>
      <c r="E37" s="10">
        <f t="shared" si="6"/>
        <v>1607</v>
      </c>
      <c r="F37" s="10">
        <f t="shared" si="6"/>
        <v>832</v>
      </c>
      <c r="G37" s="11">
        <f t="shared" si="6"/>
        <v>2872</v>
      </c>
      <c r="H37" s="12">
        <f t="shared" si="6"/>
        <v>2064</v>
      </c>
      <c r="I37" s="12">
        <f t="shared" si="6"/>
        <v>1328</v>
      </c>
      <c r="J37" s="13">
        <f t="shared" si="6"/>
        <v>606</v>
      </c>
      <c r="K37" s="11">
        <f t="shared" si="6"/>
        <v>1964</v>
      </c>
      <c r="L37" s="13">
        <f t="shared" si="6"/>
        <v>1412</v>
      </c>
    </row>
    <row r="38" spans="1:12" ht="11.25">
      <c r="A38" s="1" t="s">
        <v>31</v>
      </c>
      <c r="C38" s="10">
        <v>1906</v>
      </c>
      <c r="D38" s="10">
        <v>1357</v>
      </c>
      <c r="E38" s="10">
        <v>890</v>
      </c>
      <c r="F38" s="10">
        <v>360</v>
      </c>
      <c r="G38" s="11">
        <v>1573</v>
      </c>
      <c r="H38" s="12">
        <v>1144</v>
      </c>
      <c r="I38" s="12">
        <v>796</v>
      </c>
      <c r="J38" s="13">
        <v>366</v>
      </c>
      <c r="K38" s="11">
        <v>1254</v>
      </c>
      <c r="L38" s="13">
        <v>965</v>
      </c>
    </row>
    <row r="39" spans="1:12" ht="11.25">
      <c r="A39" s="1" t="s">
        <v>32</v>
      </c>
      <c r="C39" s="10">
        <f aca="true" t="shared" si="7" ref="C39:L39">C37-C38</f>
        <v>1341</v>
      </c>
      <c r="D39" s="10">
        <f t="shared" si="7"/>
        <v>1066</v>
      </c>
      <c r="E39" s="10">
        <f t="shared" si="7"/>
        <v>717</v>
      </c>
      <c r="F39" s="10">
        <f t="shared" si="7"/>
        <v>472</v>
      </c>
      <c r="G39" s="11">
        <f t="shared" si="7"/>
        <v>1299</v>
      </c>
      <c r="H39" s="12">
        <f t="shared" si="7"/>
        <v>920</v>
      </c>
      <c r="I39" s="12">
        <f t="shared" si="7"/>
        <v>532</v>
      </c>
      <c r="J39" s="13">
        <f t="shared" si="7"/>
        <v>240</v>
      </c>
      <c r="K39" s="11">
        <f t="shared" si="7"/>
        <v>710</v>
      </c>
      <c r="L39" s="13">
        <f t="shared" si="7"/>
        <v>447</v>
      </c>
    </row>
    <row r="40" spans="1:12" ht="11.25">
      <c r="A40" s="2" t="s">
        <v>33</v>
      </c>
      <c r="B40" s="2"/>
      <c r="C40" s="14">
        <v>938</v>
      </c>
      <c r="D40" s="14">
        <v>905</v>
      </c>
      <c r="E40" s="14">
        <v>633</v>
      </c>
      <c r="F40" s="14">
        <v>462</v>
      </c>
      <c r="G40" s="15">
        <v>1130</v>
      </c>
      <c r="H40" s="14">
        <v>846</v>
      </c>
      <c r="I40" s="14">
        <v>501</v>
      </c>
      <c r="J40" s="16">
        <v>229</v>
      </c>
      <c r="K40" s="15">
        <v>672</v>
      </c>
      <c r="L40" s="16">
        <v>447</v>
      </c>
    </row>
    <row r="41" spans="1:12" ht="11.25">
      <c r="A41" s="4" t="s">
        <v>34</v>
      </c>
      <c r="C41" s="10"/>
      <c r="D41" s="10"/>
      <c r="E41" s="10"/>
      <c r="F41" s="10"/>
      <c r="G41" s="17"/>
      <c r="H41" s="9"/>
      <c r="I41" s="9"/>
      <c r="J41" s="18"/>
      <c r="K41" s="17"/>
      <c r="L41" s="18"/>
    </row>
    <row r="42" spans="1:12" ht="11.25">
      <c r="A42" s="1" t="s">
        <v>35</v>
      </c>
      <c r="C42" s="10">
        <v>2519</v>
      </c>
      <c r="D42" s="10">
        <v>2995</v>
      </c>
      <c r="E42" s="10">
        <v>2922</v>
      </c>
      <c r="F42" s="10">
        <v>2776</v>
      </c>
      <c r="G42" s="11">
        <v>187</v>
      </c>
      <c r="H42" s="12">
        <v>81</v>
      </c>
      <c r="I42" s="12">
        <v>192</v>
      </c>
      <c r="J42" s="13">
        <v>89</v>
      </c>
      <c r="K42" s="11">
        <v>126</v>
      </c>
      <c r="L42" s="13">
        <v>342</v>
      </c>
    </row>
    <row r="43" spans="1:12" ht="11.25">
      <c r="A43" s="1" t="s">
        <v>36</v>
      </c>
      <c r="C43" s="10">
        <v>355</v>
      </c>
      <c r="D43" s="10">
        <v>521</v>
      </c>
      <c r="E43" s="10">
        <v>496</v>
      </c>
      <c r="F43" s="10">
        <v>371</v>
      </c>
      <c r="G43" s="11">
        <v>361</v>
      </c>
      <c r="H43" s="12">
        <v>186</v>
      </c>
      <c r="I43" s="12">
        <v>142</v>
      </c>
      <c r="J43" s="13">
        <v>122</v>
      </c>
      <c r="K43" s="11">
        <v>141</v>
      </c>
      <c r="L43" s="13">
        <v>70</v>
      </c>
    </row>
    <row r="44" spans="1:12" ht="11.25">
      <c r="A44" s="1" t="s">
        <v>37</v>
      </c>
      <c r="C44" s="19">
        <f aca="true" t="shared" si="8" ref="C44:L44">C42/C13</f>
        <v>0.07099374330646525</v>
      </c>
      <c r="D44" s="19">
        <f t="shared" si="8"/>
        <v>0.08175688586793328</v>
      </c>
      <c r="E44" s="19">
        <f t="shared" si="8"/>
        <v>0.07817223574734476</v>
      </c>
      <c r="F44" s="19">
        <f t="shared" si="8"/>
        <v>0.0748288317429511</v>
      </c>
      <c r="G44" s="20">
        <f t="shared" si="8"/>
        <v>0.00514216575922565</v>
      </c>
      <c r="H44" s="21">
        <f t="shared" si="8"/>
        <v>0.002354035281467058</v>
      </c>
      <c r="I44" s="21">
        <f t="shared" si="8"/>
        <v>0.005835511519056593</v>
      </c>
      <c r="J44" s="22">
        <f t="shared" si="8"/>
        <v>0.0029439978829678146</v>
      </c>
      <c r="K44" s="20">
        <f t="shared" si="8"/>
        <v>0.004336901524799504</v>
      </c>
      <c r="L44" s="22">
        <f t="shared" si="8"/>
        <v>0.016117630425561996</v>
      </c>
    </row>
    <row r="45" spans="1:12" ht="11.25">
      <c r="A45" s="1" t="s">
        <v>38</v>
      </c>
      <c r="C45" s="19">
        <f aca="true" t="shared" si="9" ref="C45:L45">C43/C42</f>
        <v>0.1409289400555776</v>
      </c>
      <c r="D45" s="19">
        <f t="shared" si="9"/>
        <v>0.17395659432387311</v>
      </c>
      <c r="E45" s="19">
        <f t="shared" si="9"/>
        <v>0.1697467488021903</v>
      </c>
      <c r="F45" s="19">
        <f t="shared" si="9"/>
        <v>0.1336455331412104</v>
      </c>
      <c r="G45" s="20">
        <f t="shared" si="9"/>
        <v>1.9304812834224598</v>
      </c>
      <c r="H45" s="21">
        <f t="shared" si="9"/>
        <v>2.2962962962962963</v>
      </c>
      <c r="I45" s="21">
        <f t="shared" si="9"/>
        <v>0.7395833333333334</v>
      </c>
      <c r="J45" s="22">
        <f t="shared" si="9"/>
        <v>1.3707865168539326</v>
      </c>
      <c r="K45" s="20">
        <f t="shared" si="9"/>
        <v>1.119047619047619</v>
      </c>
      <c r="L45" s="22">
        <f t="shared" si="9"/>
        <v>0.2046783625730994</v>
      </c>
    </row>
    <row r="46" spans="1:12" ht="11.25">
      <c r="A46" s="2" t="s">
        <v>39</v>
      </c>
      <c r="B46" s="2"/>
      <c r="C46" s="23">
        <f aca="true" t="shared" si="10" ref="C46:L46">C43/C13</f>
        <v>0.010005072994757905</v>
      </c>
      <c r="D46" s="23">
        <f t="shared" si="10"/>
        <v>0.014222149428111265</v>
      </c>
      <c r="E46" s="23">
        <f t="shared" si="10"/>
        <v>0.01326948286471013</v>
      </c>
      <c r="F46" s="23">
        <f t="shared" si="10"/>
        <v>0.010000539112620626</v>
      </c>
      <c r="G46" s="24">
        <f t="shared" si="10"/>
        <v>0.009926854754440962</v>
      </c>
      <c r="H46" s="23">
        <f t="shared" si="10"/>
        <v>0.005405562498183615</v>
      </c>
      <c r="I46" s="23">
        <f t="shared" si="10"/>
        <v>0.0043158470609689385</v>
      </c>
      <c r="J46" s="25">
        <f t="shared" si="10"/>
        <v>0.004035592603618802</v>
      </c>
      <c r="K46" s="24">
        <f t="shared" si="10"/>
        <v>0.004853199325370874</v>
      </c>
      <c r="L46" s="25">
        <f t="shared" si="10"/>
        <v>0.003298930204062397</v>
      </c>
    </row>
    <row r="47" spans="1:12" ht="11.25">
      <c r="A47" s="4" t="s">
        <v>40</v>
      </c>
      <c r="G47" s="17"/>
      <c r="H47" s="9"/>
      <c r="I47" s="9"/>
      <c r="J47" s="18"/>
      <c r="K47" s="17"/>
      <c r="L47" s="18"/>
    </row>
    <row r="48" spans="1:12" ht="11.25">
      <c r="A48" s="1" t="s">
        <v>41</v>
      </c>
      <c r="C48" s="19">
        <f aca="true" t="shared" si="11" ref="C48:L48">C25/(C13+C16)</f>
        <v>0.26324944284394197</v>
      </c>
      <c r="D48" s="19">
        <f t="shared" si="11"/>
        <v>0.2575462382235982</v>
      </c>
      <c r="E48" s="19">
        <f t="shared" si="11"/>
        <v>0.24470729856331616</v>
      </c>
      <c r="F48" s="19">
        <f t="shared" si="11"/>
        <v>0.24192017714978648</v>
      </c>
      <c r="G48" s="20">
        <f t="shared" si="11"/>
        <v>0.2497983328851842</v>
      </c>
      <c r="H48" s="21">
        <f t="shared" si="11"/>
        <v>0.2555697459912019</v>
      </c>
      <c r="I48" s="21">
        <f t="shared" si="11"/>
        <v>0.2579300074460164</v>
      </c>
      <c r="J48" s="22">
        <f t="shared" si="11"/>
        <v>0.2712747032377009</v>
      </c>
      <c r="K48" s="20">
        <f t="shared" si="11"/>
        <v>0.2842034127386383</v>
      </c>
      <c r="L48" s="22">
        <f t="shared" si="11"/>
        <v>0.3576905311778291</v>
      </c>
    </row>
    <row r="49" spans="1:12" ht="11.25">
      <c r="A49" s="2" t="s">
        <v>42</v>
      </c>
      <c r="B49" s="2"/>
      <c r="C49" s="23">
        <f aca="true" t="shared" si="12" ref="C49:L49">C25/C13</f>
        <v>0.2729834845837326</v>
      </c>
      <c r="D49" s="23">
        <f t="shared" si="12"/>
        <v>0.263423689023558</v>
      </c>
      <c r="E49" s="23">
        <f t="shared" si="12"/>
        <v>0.2501672061852912</v>
      </c>
      <c r="F49" s="23">
        <f t="shared" si="12"/>
        <v>0.24737182597444607</v>
      </c>
      <c r="G49" s="24">
        <f t="shared" si="12"/>
        <v>0.25545839520431174</v>
      </c>
      <c r="H49" s="23">
        <f t="shared" si="12"/>
        <v>0.2617047865384057</v>
      </c>
      <c r="I49" s="23">
        <f t="shared" si="12"/>
        <v>0.2632058841407817</v>
      </c>
      <c r="J49" s="25">
        <f t="shared" si="12"/>
        <v>0.27743045218484336</v>
      </c>
      <c r="K49" s="24">
        <f t="shared" si="12"/>
        <v>0.2895053867070526</v>
      </c>
      <c r="L49" s="25">
        <f t="shared" si="12"/>
        <v>0.3649559357179886</v>
      </c>
    </row>
    <row r="50" spans="1:12" ht="11.25">
      <c r="A50" s="4" t="s">
        <v>43</v>
      </c>
      <c r="G50" s="17"/>
      <c r="H50" s="9"/>
      <c r="I50" s="9"/>
      <c r="J50" s="18"/>
      <c r="K50" s="17"/>
      <c r="L50" s="18"/>
    </row>
    <row r="51" spans="1:12" ht="11.25">
      <c r="A51" s="1" t="s">
        <v>44</v>
      </c>
      <c r="C51" s="26">
        <f aca="true" t="shared" si="13" ref="C51:L51">C12/C17</f>
        <v>0.32305329674479494</v>
      </c>
      <c r="D51" s="26">
        <f t="shared" si="13"/>
        <v>0.27974707285052114</v>
      </c>
      <c r="E51" s="26">
        <f t="shared" si="13"/>
        <v>0.24722123116612235</v>
      </c>
      <c r="F51" s="26">
        <f t="shared" si="13"/>
        <v>0.21021741644500982</v>
      </c>
      <c r="G51" s="27">
        <f t="shared" si="13"/>
        <v>0.21867048811160178</v>
      </c>
      <c r="H51" s="28">
        <f t="shared" si="13"/>
        <v>0.20826312176246645</v>
      </c>
      <c r="I51" s="28">
        <f t="shared" si="13"/>
        <v>0.2895719188391836</v>
      </c>
      <c r="J51" s="29">
        <f t="shared" si="13"/>
        <v>0.24622487589821918</v>
      </c>
      <c r="K51" s="27">
        <f t="shared" si="13"/>
        <v>0.24306932545175652</v>
      </c>
      <c r="L51" s="29">
        <f t="shared" si="13"/>
        <v>0.2593870509437792</v>
      </c>
    </row>
    <row r="52" spans="1:12" ht="11.25">
      <c r="A52" s="1" t="s">
        <v>45</v>
      </c>
      <c r="C52" s="26">
        <f aca="true" t="shared" si="14" ref="C52:L52">C12/C11</f>
        <v>0.2475213147640909</v>
      </c>
      <c r="D52" s="26">
        <f t="shared" si="14"/>
        <v>0.21004667256779594</v>
      </c>
      <c r="E52" s="26">
        <f t="shared" si="14"/>
        <v>0.1842842822364518</v>
      </c>
      <c r="F52" s="26">
        <f t="shared" si="14"/>
        <v>0.15551610557385465</v>
      </c>
      <c r="G52" s="27">
        <f t="shared" si="14"/>
        <v>0.16166136948390306</v>
      </c>
      <c r="H52" s="28">
        <f t="shared" si="14"/>
        <v>0.15279653838228896</v>
      </c>
      <c r="I52" s="28">
        <f t="shared" si="14"/>
        <v>0.21454221032675366</v>
      </c>
      <c r="J52" s="29">
        <f t="shared" si="14"/>
        <v>0.17844025157232704</v>
      </c>
      <c r="K52" s="27">
        <f t="shared" si="14"/>
        <v>0.17237994162907933</v>
      </c>
      <c r="L52" s="29">
        <f t="shared" si="14"/>
        <v>0.17368850231041044</v>
      </c>
    </row>
    <row r="53" spans="1:12" ht="11.25">
      <c r="A53" s="2" t="s">
        <v>46</v>
      </c>
      <c r="B53" s="2"/>
      <c r="C53" s="30">
        <f aca="true" t="shared" si="15" ref="C53:L53">(C12+C16)/C17</f>
        <v>0.35608368369376403</v>
      </c>
      <c r="D53" s="30">
        <f t="shared" si="15"/>
        <v>0.3021461297323366</v>
      </c>
      <c r="E53" s="30">
        <f t="shared" si="15"/>
        <v>0.2701100529681368</v>
      </c>
      <c r="F53" s="30">
        <f t="shared" si="15"/>
        <v>0.2343876488955707</v>
      </c>
      <c r="G53" s="31">
        <f t="shared" si="15"/>
        <v>0.24276898780452139</v>
      </c>
      <c r="H53" s="30">
        <f t="shared" si="15"/>
        <v>0.23403856955626287</v>
      </c>
      <c r="I53" s="30">
        <f t="shared" si="15"/>
        <v>0.3098320187849961</v>
      </c>
      <c r="J53" s="32">
        <f t="shared" si="15"/>
        <v>0.2700385323011768</v>
      </c>
      <c r="K53" s="31">
        <f t="shared" si="15"/>
        <v>0.26334692655916797</v>
      </c>
      <c r="L53" s="32">
        <f t="shared" si="15"/>
        <v>0.28125634260198906</v>
      </c>
    </row>
    <row r="54" spans="1:12" ht="11.25">
      <c r="A54" s="4" t="s">
        <v>47</v>
      </c>
      <c r="G54" s="17"/>
      <c r="H54" s="9"/>
      <c r="I54" s="9"/>
      <c r="J54" s="18"/>
      <c r="K54" s="17"/>
      <c r="L54" s="18"/>
    </row>
    <row r="55" spans="1:12" ht="11.25">
      <c r="A55" s="1" t="s">
        <v>48</v>
      </c>
      <c r="C55" s="21">
        <f>(C40)/C28</f>
        <v>0.025356833910034602</v>
      </c>
      <c r="D55" s="19">
        <f>((D40)/0.75)/D28</f>
        <v>0.03319395539906104</v>
      </c>
      <c r="E55" s="19">
        <f>((E40)/0.5)/E28</f>
        <v>0.03527051874965175</v>
      </c>
      <c r="F55" s="19">
        <f>((F40)/0.25)/F28</f>
        <v>0.05368113752886668</v>
      </c>
      <c r="G55" s="20">
        <f>(G40)/G28</f>
        <v>0.03383993411694243</v>
      </c>
      <c r="H55" s="21">
        <f>((H40)/0.75)/H28</f>
        <v>0.03583455111506449</v>
      </c>
      <c r="I55" s="21">
        <f>((I40)/0.5)/I28</f>
        <v>0.033923553509158</v>
      </c>
      <c r="J55" s="22">
        <f>((J40)/0.25)/J28</f>
        <v>0.033727309547479656</v>
      </c>
      <c r="K55" s="20">
        <f>K40/K28</f>
        <v>0.02622694897063128</v>
      </c>
      <c r="L55" s="22">
        <f>L40/L28</f>
        <v>0.026294891026206652</v>
      </c>
    </row>
    <row r="56" spans="1:12" ht="11.25">
      <c r="A56" s="1" t="s">
        <v>49</v>
      </c>
      <c r="C56" s="21">
        <f>(C40)/C27</f>
        <v>0.01912470818508966</v>
      </c>
      <c r="D56" s="19">
        <f>((D40)/0.75)/D27</f>
        <v>0.025842283544104998</v>
      </c>
      <c r="E56" s="19">
        <f>((E40)/0.5)/E27</f>
        <v>0.027017798454906313</v>
      </c>
      <c r="F56" s="19">
        <f>((F40)/0.25)/F27</f>
        <v>0.042726347914547304</v>
      </c>
      <c r="G56" s="20">
        <f>(G40)/G27</f>
        <v>0.02692367257954992</v>
      </c>
      <c r="H56" s="21">
        <f>((H40)/0.75)/H27</f>
        <v>0.02809604463485105</v>
      </c>
      <c r="I56" s="21">
        <f>((I40)/0.5)/I27</f>
        <v>0.026189916098172977</v>
      </c>
      <c r="J56" s="22">
        <f>((J40)/0.25)/J27</f>
        <v>0.02560017886587854</v>
      </c>
      <c r="K56" s="20">
        <f>K40/K27</f>
        <v>0.020023241262179314</v>
      </c>
      <c r="L56" s="22">
        <f>L40/L27</f>
        <v>0.01817849081925212</v>
      </c>
    </row>
    <row r="57" spans="1:12" ht="11.25">
      <c r="A57" s="1" t="s">
        <v>50</v>
      </c>
      <c r="C57" s="21">
        <f>(C40)/C31</f>
        <v>0.09886172006745363</v>
      </c>
      <c r="D57" s="19">
        <f>((D40)/0.75)/D31</f>
        <v>0.12936656839095864</v>
      </c>
      <c r="E57" s="19">
        <f>((E40)/0.5)/E31</f>
        <v>0.14058075620454166</v>
      </c>
      <c r="F57" s="19">
        <f>((F40)/0.25)/F31</f>
        <v>0.21043042587109997</v>
      </c>
      <c r="G57" s="20">
        <f>(G40)/G31</f>
        <v>0.1276764024631377</v>
      </c>
      <c r="H57" s="21">
        <f>((H40)/0.75)/H31</f>
        <v>0.13078260869565217</v>
      </c>
      <c r="I57" s="21">
        <f>((I40)/0.5)/I31</f>
        <v>0.12027367662945625</v>
      </c>
      <c r="J57" s="22">
        <f>((J40)/0.25)/J31</f>
        <v>0.1121999020088192</v>
      </c>
      <c r="K57" s="20">
        <f>K40/K31</f>
        <v>0.08319405756731663</v>
      </c>
      <c r="L57" s="22">
        <f>L40/L31</f>
        <v>0.07599455967358042</v>
      </c>
    </row>
    <row r="58" spans="1:12" ht="11.25">
      <c r="A58" s="1" t="s">
        <v>51</v>
      </c>
      <c r="C58" s="21">
        <f aca="true" t="shared" si="16" ref="C58:L58">(C33)/C28</f>
        <v>0.13083910034602075</v>
      </c>
      <c r="D58" s="21">
        <f t="shared" si="16"/>
        <v>0.1014799735915493</v>
      </c>
      <c r="E58" s="21">
        <f t="shared" si="16"/>
        <v>0.0689251685518471</v>
      </c>
      <c r="F58" s="22">
        <f t="shared" si="16"/>
        <v>0.0356131356116832</v>
      </c>
      <c r="G58" s="21">
        <f t="shared" si="16"/>
        <v>0.13640787602006438</v>
      </c>
      <c r="H58" s="21">
        <f t="shared" si="16"/>
        <v>0.1051528051337442</v>
      </c>
      <c r="I58" s="21">
        <f t="shared" si="16"/>
        <v>0.07160510546094728</v>
      </c>
      <c r="J58" s="22">
        <f t="shared" si="16"/>
        <v>0.03751979086122464</v>
      </c>
      <c r="K58" s="20">
        <f t="shared" si="16"/>
        <v>0.13437408527661235</v>
      </c>
      <c r="L58" s="22">
        <f t="shared" si="16"/>
        <v>0.15182799494102767</v>
      </c>
    </row>
    <row r="59" spans="1:12" ht="11.25">
      <c r="A59" s="1" t="s">
        <v>52</v>
      </c>
      <c r="C59" s="21">
        <f aca="true" t="shared" si="17" ref="C59:L59">(C34)/C28</f>
        <v>0.07463775951557093</v>
      </c>
      <c r="D59" s="21">
        <f t="shared" si="17"/>
        <v>0.05812610035211268</v>
      </c>
      <c r="E59" s="21">
        <f t="shared" si="17"/>
        <v>0.039533069593803975</v>
      </c>
      <c r="F59" s="22">
        <f t="shared" si="17"/>
        <v>0.020159474807918548</v>
      </c>
      <c r="G59" s="21">
        <f t="shared" si="17"/>
        <v>0.07465748296773228</v>
      </c>
      <c r="H59" s="21">
        <f t="shared" si="17"/>
        <v>0.05819937734290616</v>
      </c>
      <c r="I59" s="21">
        <f t="shared" si="17"/>
        <v>0.03944205572671564</v>
      </c>
      <c r="J59" s="22">
        <f t="shared" si="17"/>
        <v>0.020913877535991752</v>
      </c>
      <c r="K59" s="20">
        <f t="shared" si="17"/>
        <v>0.07298273002244121</v>
      </c>
      <c r="L59" s="22">
        <f t="shared" si="17"/>
        <v>0.07182564193064502</v>
      </c>
    </row>
    <row r="60" spans="1:12" ht="11.25">
      <c r="A60" s="1" t="s">
        <v>53</v>
      </c>
      <c r="C60" s="21">
        <f aca="true" t="shared" si="18" ref="C60:L60">(C35)/C28</f>
        <v>0.05620134083044983</v>
      </c>
      <c r="D60" s="21">
        <f t="shared" si="18"/>
        <v>0.04335387323943662</v>
      </c>
      <c r="E60" s="21">
        <f t="shared" si="18"/>
        <v>0.029392098958043126</v>
      </c>
      <c r="F60" s="22">
        <f t="shared" si="18"/>
        <v>0.015453660803764651</v>
      </c>
      <c r="G60" s="21">
        <f t="shared" si="18"/>
        <v>0.06175039305233211</v>
      </c>
      <c r="H60" s="21">
        <f t="shared" si="18"/>
        <v>0.04695342779083805</v>
      </c>
      <c r="I60" s="21">
        <f t="shared" si="18"/>
        <v>0.03216304973423164</v>
      </c>
      <c r="J60" s="22">
        <f t="shared" si="18"/>
        <v>0.01660591332523289</v>
      </c>
      <c r="K60" s="20">
        <f t="shared" si="18"/>
        <v>0.06139135525417114</v>
      </c>
      <c r="L60" s="22">
        <f t="shared" si="18"/>
        <v>0.08000235301038267</v>
      </c>
    </row>
    <row r="61" spans="1:12" ht="11.25">
      <c r="A61" s="1" t="s">
        <v>54</v>
      </c>
      <c r="C61" s="21">
        <f>(C38)/(C37)</f>
        <v>0.5870033877425316</v>
      </c>
      <c r="D61" s="21">
        <f>(D38/0.75)/(D37/0.75)</f>
        <v>0.5600495253817581</v>
      </c>
      <c r="E61" s="21">
        <f>(E38/0.5)/(E37/0.5)</f>
        <v>0.5538270068450529</v>
      </c>
      <c r="F61" s="22">
        <f>(F38/0.25)/(F37/0.25)</f>
        <v>0.4326923076923077</v>
      </c>
      <c r="G61" s="21">
        <f>(G38)/(G37)</f>
        <v>0.5477019498607242</v>
      </c>
      <c r="H61" s="21">
        <f>((H38)/0.75)/((H37)/0.75)</f>
        <v>0.5542635658914729</v>
      </c>
      <c r="I61" s="21">
        <f>((I38)/0.5)/((I37)/0.5)</f>
        <v>0.5993975903614458</v>
      </c>
      <c r="J61" s="22">
        <f>(J38/0.25)/(J37/0.25)</f>
        <v>0.6039603960396039</v>
      </c>
      <c r="K61" s="20">
        <f>K38/K37</f>
        <v>0.6384928716904277</v>
      </c>
      <c r="L61" s="22">
        <f>L38/L37</f>
        <v>0.68342776203966</v>
      </c>
    </row>
    <row r="62" spans="1:12" ht="11.25">
      <c r="A62" s="2" t="s">
        <v>55</v>
      </c>
      <c r="B62" s="2"/>
      <c r="C62" s="23">
        <f aca="true" t="shared" si="19" ref="C62:L62">(C36)/C28</f>
        <v>0.03157439446366782</v>
      </c>
      <c r="D62" s="23">
        <f t="shared" si="19"/>
        <v>0.023299955985915492</v>
      </c>
      <c r="E62" s="23">
        <f t="shared" si="19"/>
        <v>0.015378614810274699</v>
      </c>
      <c r="F62" s="25">
        <f t="shared" si="19"/>
        <v>0.008714470378062774</v>
      </c>
      <c r="G62" s="23">
        <f t="shared" si="19"/>
        <v>0.024256943924533952</v>
      </c>
      <c r="H62" s="23">
        <f t="shared" si="19"/>
        <v>0.018616176377152297</v>
      </c>
      <c r="I62" s="23">
        <f t="shared" si="19"/>
        <v>0.012797508210041643</v>
      </c>
      <c r="J62" s="25">
        <f t="shared" si="19"/>
        <v>0.005707132074082256</v>
      </c>
      <c r="K62" s="24">
        <f t="shared" si="19"/>
        <v>0.015260025368328618</v>
      </c>
      <c r="L62" s="25">
        <f t="shared" si="19"/>
        <v>0.0030589134974558074</v>
      </c>
    </row>
    <row r="63" spans="1:12" ht="11.25">
      <c r="A63" s="4" t="s">
        <v>56</v>
      </c>
      <c r="G63" s="17"/>
      <c r="H63" s="9"/>
      <c r="I63" s="9"/>
      <c r="J63" s="18"/>
      <c r="K63" s="17"/>
      <c r="L63" s="18"/>
    </row>
    <row r="64" spans="1:12" ht="11.25">
      <c r="A64" s="1" t="s">
        <v>57</v>
      </c>
      <c r="C64" s="10">
        <v>66</v>
      </c>
      <c r="D64" s="10">
        <v>65</v>
      </c>
      <c r="E64" s="10">
        <v>78</v>
      </c>
      <c r="F64" s="10">
        <v>62</v>
      </c>
      <c r="G64" s="11">
        <v>60</v>
      </c>
      <c r="H64" s="12">
        <v>62</v>
      </c>
      <c r="I64" s="12">
        <v>60</v>
      </c>
      <c r="J64" s="13">
        <v>61</v>
      </c>
      <c r="K64" s="11">
        <v>54</v>
      </c>
      <c r="L64" s="13">
        <v>41</v>
      </c>
    </row>
    <row r="65" spans="1:12" ht="11.25">
      <c r="A65" s="1" t="s">
        <v>58</v>
      </c>
      <c r="C65" s="10">
        <v>4</v>
      </c>
      <c r="D65" s="10">
        <v>4</v>
      </c>
      <c r="E65" s="10">
        <v>4</v>
      </c>
      <c r="F65" s="10">
        <v>4</v>
      </c>
      <c r="G65" s="11">
        <v>4</v>
      </c>
      <c r="H65" s="12">
        <v>4</v>
      </c>
      <c r="I65" s="12">
        <v>4</v>
      </c>
      <c r="J65" s="13">
        <v>4</v>
      </c>
      <c r="K65" s="11">
        <v>4</v>
      </c>
      <c r="L65" s="13">
        <v>3</v>
      </c>
    </row>
    <row r="66" spans="1:12" ht="11.25">
      <c r="A66" s="1" t="s">
        <v>59</v>
      </c>
      <c r="C66" s="33">
        <f aca="true" t="shared" si="20" ref="C66:L66">C13/C64</f>
        <v>537.6060606060606</v>
      </c>
      <c r="D66" s="33">
        <f t="shared" si="20"/>
        <v>563.5846153846154</v>
      </c>
      <c r="E66" s="33">
        <f t="shared" si="20"/>
        <v>479.21794871794873</v>
      </c>
      <c r="F66" s="33">
        <f t="shared" si="20"/>
        <v>598.3548387096774</v>
      </c>
      <c r="G66" s="34">
        <f t="shared" si="20"/>
        <v>606.1</v>
      </c>
      <c r="H66" s="35">
        <f t="shared" si="20"/>
        <v>554.983870967742</v>
      </c>
      <c r="I66" s="35">
        <f t="shared" si="20"/>
        <v>548.3666666666667</v>
      </c>
      <c r="J66" s="36">
        <f t="shared" si="20"/>
        <v>495.59016393442624</v>
      </c>
      <c r="K66" s="34">
        <f t="shared" si="20"/>
        <v>538.0185185185185</v>
      </c>
      <c r="L66" s="36">
        <f t="shared" si="20"/>
        <v>517.5365853658536</v>
      </c>
    </row>
    <row r="67" spans="1:12" ht="11.25">
      <c r="A67" s="1" t="s">
        <v>60</v>
      </c>
      <c r="C67" s="33">
        <f aca="true" t="shared" si="21" ref="C67:L67">C17/C64</f>
        <v>601.8333333333334</v>
      </c>
      <c r="D67" s="33">
        <f t="shared" si="21"/>
        <v>574.2</v>
      </c>
      <c r="E67" s="33">
        <f t="shared" si="21"/>
        <v>467.14102564102564</v>
      </c>
      <c r="F67" s="33">
        <f t="shared" si="21"/>
        <v>557.8709677419355</v>
      </c>
      <c r="G67" s="34">
        <f t="shared" si="21"/>
        <v>569.8833333333333</v>
      </c>
      <c r="H67" s="35">
        <f t="shared" si="21"/>
        <v>516.8709677419355</v>
      </c>
      <c r="I67" s="35">
        <f t="shared" si="21"/>
        <v>553.6333333333333</v>
      </c>
      <c r="J67" s="36">
        <f t="shared" si="21"/>
        <v>472.24590163934425</v>
      </c>
      <c r="K67" s="34">
        <f t="shared" si="21"/>
        <v>494.98148148148147</v>
      </c>
      <c r="L67" s="36">
        <f t="shared" si="21"/>
        <v>480.6829268292683</v>
      </c>
    </row>
    <row r="68" spans="1:12" ht="11.25">
      <c r="A68" s="2" t="s">
        <v>61</v>
      </c>
      <c r="B68" s="2"/>
      <c r="C68" s="37">
        <f aca="true" t="shared" si="22" ref="C68:L68">C40/C64</f>
        <v>14.212121212121213</v>
      </c>
      <c r="D68" s="37">
        <f t="shared" si="22"/>
        <v>13.923076923076923</v>
      </c>
      <c r="E68" s="37">
        <f t="shared" si="22"/>
        <v>8.115384615384615</v>
      </c>
      <c r="F68" s="37">
        <f t="shared" si="22"/>
        <v>7.451612903225806</v>
      </c>
      <c r="G68" s="38">
        <f t="shared" si="22"/>
        <v>18.833333333333332</v>
      </c>
      <c r="H68" s="37">
        <f t="shared" si="22"/>
        <v>13.64516129032258</v>
      </c>
      <c r="I68" s="37">
        <f t="shared" si="22"/>
        <v>8.35</v>
      </c>
      <c r="J68" s="39">
        <f t="shared" si="22"/>
        <v>3.7540983606557377</v>
      </c>
      <c r="K68" s="38">
        <f t="shared" si="22"/>
        <v>12.444444444444445</v>
      </c>
      <c r="L68" s="39">
        <f t="shared" si="22"/>
        <v>10.902439024390244</v>
      </c>
    </row>
    <row r="69" spans="1:12" ht="11.25">
      <c r="A69" s="4" t="s">
        <v>62</v>
      </c>
      <c r="G69" s="17"/>
      <c r="H69" s="9"/>
      <c r="I69" s="9"/>
      <c r="J69" s="18"/>
      <c r="K69" s="17"/>
      <c r="L69" s="18"/>
    </row>
    <row r="70" spans="1:12" ht="11.25">
      <c r="A70" s="1" t="s">
        <v>63</v>
      </c>
      <c r="C70" s="19">
        <f>(C11-G11)/G11</f>
        <v>0.12088387278112905</v>
      </c>
      <c r="D70" s="19">
        <f>(D11-H11)/H11</f>
        <v>0.13802971679754572</v>
      </c>
      <c r="E70" s="19">
        <f>(E11-I11)/I11</f>
        <v>0.09024199843871974</v>
      </c>
      <c r="F70" s="19">
        <f>(F11-J11)/J11</f>
        <v>0.1762012578616352</v>
      </c>
      <c r="G70" s="20">
        <f>(G11-K11)/K11</f>
        <v>0.22714247811090474</v>
      </c>
      <c r="H70" s="21">
        <f>(H11-36617)/36617</f>
        <v>0.19286123931507224</v>
      </c>
      <c r="I70" s="21">
        <f>(I11-31685)/31685</f>
        <v>0.4150228814896639</v>
      </c>
      <c r="J70" s="22">
        <f>(J11-31814)/31814</f>
        <v>0.24944992770478405</v>
      </c>
      <c r="K70" s="20">
        <f>(K11-L11)/L11</f>
        <v>0.280578961674368</v>
      </c>
      <c r="L70" s="22">
        <f>(L11-19746)/19746</f>
        <v>0.4905297275397549</v>
      </c>
    </row>
    <row r="71" spans="1:12" ht="11.25">
      <c r="A71" s="1" t="s">
        <v>64</v>
      </c>
      <c r="C71" s="19">
        <f aca="true" t="shared" si="23" ref="C71:E72">(C13-G13)/G13</f>
        <v>-0.024308419952703074</v>
      </c>
      <c r="D71" s="19">
        <f t="shared" si="23"/>
        <v>0.06463425266645355</v>
      </c>
      <c r="E71" s="19">
        <f t="shared" si="23"/>
        <v>0.13607075557716855</v>
      </c>
      <c r="F71" s="19">
        <f>F13/J13-1</f>
        <v>0.227150937779101</v>
      </c>
      <c r="G71" s="20">
        <f>G13/K13-1</f>
        <v>0.2517123877052283</v>
      </c>
      <c r="H71" s="21">
        <f>H13/27283-1</f>
        <v>0.2611882857457024</v>
      </c>
      <c r="I71" s="21">
        <f>I13/25063-1</f>
        <v>0.31277181502613405</v>
      </c>
      <c r="J71" s="22">
        <f>J13/22968-1</f>
        <v>0.31622257053291536</v>
      </c>
      <c r="K71" s="20">
        <f>K13/L13-1</f>
        <v>0.36919741740892587</v>
      </c>
      <c r="L71" s="22">
        <f>L13/11931-1</f>
        <v>0.7784762383706312</v>
      </c>
    </row>
    <row r="72" spans="2:12" ht="11.25">
      <c r="B72" s="9" t="s">
        <v>15</v>
      </c>
      <c r="C72" s="19">
        <f t="shared" si="23"/>
        <v>-0.024308419952703074</v>
      </c>
      <c r="D72" s="19">
        <f t="shared" si="23"/>
        <v>0.06463425266645355</v>
      </c>
      <c r="E72" s="19">
        <f t="shared" si="23"/>
        <v>0.13607075557716855</v>
      </c>
      <c r="F72" s="19">
        <f>(F14-J14)/J14</f>
        <v>0.22715093777910092</v>
      </c>
      <c r="G72" s="20">
        <f>(G14-K14)/K14</f>
        <v>0.25171238770522836</v>
      </c>
      <c r="H72" s="21">
        <f>(H14-27283)/27283</f>
        <v>0.26118828574570246</v>
      </c>
      <c r="I72" s="21">
        <f>(I14-25063)/25063</f>
        <v>0.31277181502613416</v>
      </c>
      <c r="J72" s="22">
        <f>(J14-22968)/22968</f>
        <v>0.31622257053291536</v>
      </c>
      <c r="K72" s="20">
        <f>(K14-L14)/L14</f>
        <v>0.369197417408926</v>
      </c>
      <c r="L72" s="22">
        <f>(L14-11931)/11931</f>
        <v>0.7784762383706312</v>
      </c>
    </row>
    <row r="73" spans="2:12" ht="11.25">
      <c r="B73" s="9" t="s">
        <v>16</v>
      </c>
      <c r="C73" s="21">
        <v>0</v>
      </c>
      <c r="D73" s="19">
        <v>0</v>
      </c>
      <c r="E73" s="19">
        <v>0</v>
      </c>
      <c r="F73" s="19">
        <v>0</v>
      </c>
      <c r="G73" s="20">
        <v>0</v>
      </c>
      <c r="H73" s="21">
        <v>0</v>
      </c>
      <c r="I73" s="21">
        <v>0</v>
      </c>
      <c r="J73" s="22">
        <v>0</v>
      </c>
      <c r="K73" s="20">
        <v>0</v>
      </c>
      <c r="L73" s="22">
        <v>0</v>
      </c>
    </row>
    <row r="74" spans="1:12" ht="11.25">
      <c r="A74" s="1" t="s">
        <v>65</v>
      </c>
      <c r="C74" s="19">
        <f aca="true" t="shared" si="24" ref="C74:E75">(C17-G17)/G17</f>
        <v>0.16167051735735385</v>
      </c>
      <c r="D74" s="19">
        <f t="shared" si="24"/>
        <v>0.16466953753978655</v>
      </c>
      <c r="E74" s="19">
        <f t="shared" si="24"/>
        <v>0.09690529231139744</v>
      </c>
      <c r="F74" s="19">
        <f>F17/J17-1</f>
        <v>0.2006803901829417</v>
      </c>
      <c r="G74" s="20">
        <f>G17/K17-1</f>
        <v>0.2792472595308466</v>
      </c>
      <c r="H74" s="21">
        <f>H17/23091-1</f>
        <v>0.3878134338053787</v>
      </c>
      <c r="I74" s="21">
        <f>I17/21592-1</f>
        <v>0.538440163023342</v>
      </c>
      <c r="J74" s="22">
        <f>J17/21588-1</f>
        <v>0.3343987400407633</v>
      </c>
      <c r="K74" s="20">
        <f>K17/L17-1</f>
        <v>0.3562512685203978</v>
      </c>
      <c r="L74" s="22">
        <f>L17/14208-1</f>
        <v>0.3871058558558558</v>
      </c>
    </row>
    <row r="75" spans="2:12" ht="11.25">
      <c r="B75" s="9" t="s">
        <v>15</v>
      </c>
      <c r="C75" s="19">
        <f t="shared" si="24"/>
        <v>0.13242476530283975</v>
      </c>
      <c r="D75" s="19">
        <f t="shared" si="24"/>
        <v>0.10225925232478313</v>
      </c>
      <c r="E75" s="19">
        <f t="shared" si="24"/>
        <v>0.08572419446371146</v>
      </c>
      <c r="F75" s="19">
        <f>(F18-J18)/J18</f>
        <v>0.19339363533159995</v>
      </c>
      <c r="G75" s="20">
        <f>(G18-K18)/K18</f>
        <v>0.3553054025129811</v>
      </c>
      <c r="H75" s="21">
        <f>(H18-21591)/21591</f>
        <v>0.484229540086147</v>
      </c>
      <c r="I75" s="21">
        <f>(I18-20092)/20092</f>
        <v>0.578638263985666</v>
      </c>
      <c r="J75" s="22">
        <f>(J18-21588)/21588</f>
        <v>0.26491569390402075</v>
      </c>
      <c r="K75" s="20">
        <f>(K18-L18)/L18</f>
        <v>0.38559973637961337</v>
      </c>
      <c r="L75" s="22">
        <f>(L18-12708)/12708</f>
        <v>0.43279823733081524</v>
      </c>
    </row>
    <row r="76" spans="2:12" ht="11.25">
      <c r="B76" s="9" t="s">
        <v>16</v>
      </c>
      <c r="C76" s="19">
        <v>0</v>
      </c>
      <c r="D76" s="19">
        <v>0</v>
      </c>
      <c r="E76" s="19">
        <f>(E22-I22)/I22</f>
        <v>0.3333333333333333</v>
      </c>
      <c r="F76" s="19">
        <f>(F22-J22)/J22</f>
        <v>0.3333333333333333</v>
      </c>
      <c r="G76" s="20">
        <f>(G22-K22)/K22</f>
        <v>-1</v>
      </c>
      <c r="H76" s="21">
        <f>(H22-1500)/1500</f>
        <v>-1</v>
      </c>
      <c r="I76" s="21">
        <f>(I22-1500)/1500</f>
        <v>0</v>
      </c>
      <c r="J76" s="22">
        <f>(J22-K22)/K22</f>
        <v>0</v>
      </c>
      <c r="K76" s="20">
        <f>(K22-L22)/L22</f>
        <v>0</v>
      </c>
      <c r="L76" s="22">
        <f>(L22-1500)/1500</f>
        <v>0</v>
      </c>
    </row>
    <row r="77" spans="1:12" ht="11.25">
      <c r="A77" s="1" t="s">
        <v>66</v>
      </c>
      <c r="C77" s="19">
        <f>C25/G25-1</f>
        <v>0.04262648008611403</v>
      </c>
      <c r="D77" s="19">
        <f>D25/H25-1</f>
        <v>0.07162687395891165</v>
      </c>
      <c r="E77" s="19">
        <f>E25/I25-1</f>
        <v>0.07979214780600463</v>
      </c>
      <c r="F77" s="19">
        <f>(F25-J25)/J25</f>
        <v>0.09419339453916777</v>
      </c>
      <c r="G77" s="20">
        <f>(G25-K25)/K25</f>
        <v>0.10450600404232553</v>
      </c>
      <c r="H77" s="21">
        <f>(H25-8245)/8245</f>
        <v>0.09217707701637357</v>
      </c>
      <c r="I77" s="21">
        <f>(I25-8001)/8001</f>
        <v>0.0823647044119485</v>
      </c>
      <c r="J77" s="22">
        <f>(J25-7941)/7941</f>
        <v>0.056164211056542</v>
      </c>
      <c r="K77" s="20">
        <f>(K25-L25)/L25</f>
        <v>0.08613119834710743</v>
      </c>
      <c r="L77" s="22">
        <f>(L25-4020)/4020</f>
        <v>0.9263681592039801</v>
      </c>
    </row>
    <row r="78" spans="1:12" ht="11.25">
      <c r="A78" s="2" t="s">
        <v>67</v>
      </c>
      <c r="B78" s="2"/>
      <c r="C78" s="23">
        <f>(C40-G40)/G40</f>
        <v>-0.16991150442477876</v>
      </c>
      <c r="D78" s="23">
        <f>(D40-H40)/H40</f>
        <v>0.06973995271867613</v>
      </c>
      <c r="E78" s="23">
        <f>(E40-I40)/I40</f>
        <v>0.2634730538922156</v>
      </c>
      <c r="F78" s="23">
        <f>F40/J40-1</f>
        <v>1.017467248908297</v>
      </c>
      <c r="G78" s="24">
        <f>G40/K40-1</f>
        <v>0.6815476190476191</v>
      </c>
      <c r="H78" s="23">
        <f>H40/463-1</f>
        <v>0.8272138228941686</v>
      </c>
      <c r="I78" s="23">
        <f>I40/220-1</f>
        <v>1.2772727272727273</v>
      </c>
      <c r="J78" s="25">
        <f>J40/166-1</f>
        <v>0.3795180722891567</v>
      </c>
      <c r="K78" s="24">
        <f>(K40-L40)/L40</f>
        <v>0.5033557046979866</v>
      </c>
      <c r="L78" s="25">
        <f>(L40-106)/106</f>
        <v>3.2169811320754715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701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2002-03-25T14:21:46Z</cp:lastPrinted>
  <dcterms:created xsi:type="dcterms:W3CDTF">2002-03-19T15:12:55Z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