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Nacional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<sst xmlns="http://schemas.openxmlformats.org/spreadsheetml/2006/main" count="84" uniqueCount="68">
  <si>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CUADRO No. 18-1</t>
  </si>
  <si>
    <t>BANCO NACIONAL DE PANAMA</t>
  </si>
  <si>
    <t>ESTADISTICA FINANCIERA. AÑO 1999, TRIMESTRES DE 2000 Y 2001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</si>
  <si>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</si>
  <si>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</si>
  <si>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</si>
  <si>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</si>
  <si>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</si>
  <si>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</si>
  <si>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</si>
  <si>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</si>
  <si>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</si>
  <si>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</si>
  <si>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</si>
  <si>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</si>
  <si>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</si>
  <si>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</si>
  <si>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</si>
  <si>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</si>
  <si>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</si>
  <si>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</si>
  <si>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</si>
  <si>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</si>
  <si>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</si>
  <si>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</si>
  <si>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</si>
  <si>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</si>
  <si>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</si>
  <si>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</si>
  <si>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</si>
  <si>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</si>
  <si>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</si>
  <si>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</si>
  <si>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</si>
  <si>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</si>
  <si>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</si>
  <si>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</si>
  <si>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</si>
  <si>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 xml:space="preserve">Provisiones Cuentas Malas / Préstamos Vencidos </t>
  </si>
  <si>
    <t xml:space="preserve">Provisiones / Préstamos Totales </t>
  </si>
  <si>
    <t>Razones de Capital</t>
  </si>
  <si>
    <t>Patrimonio / Activos Gerenadores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</si>
  <si>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</si>
  <si>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</si>
  <si>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</si>
  <si>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</si>
  <si>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</si>
  <si>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</si>
  <si>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</si>
  <si>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</si>
  <si>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</si>
  <si>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Gen. De Ing. (Promedio)</t>
  </si>
  <si>
    <t>Egresos Operaciones / Activos Gen. De Ing. (Promedio)</t>
  </si>
  <si>
    <t>Ingresos Netos por Intereses / Activos Gen. De Ing. (Promedio)</t>
  </si>
  <si>
    <t>Egresos Generales / Ingresos de Operaciones</t>
  </si>
  <si>
    <t>Otros Ingresos / Activos Gen. De Ing. (Promedio)</t>
  </si>
  <si>
    <t>Productividad</t>
  </si>
  <si>
    <t>Número de Empleados</t>
  </si>
  <si>
    <t>Sucursales</t>
  </si>
  <si>
    <t>Préstamos / Empleados</t>
  </si>
  <si>
    <t>Depósitos Totales / Empleados</t>
  </si>
  <si>
    <t>Utilidad Neta / Empleados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</si>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</sst>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&quot;#,##0_);\(&quot;B&quot;#,##0\)"/>
    <numFmt numFmtId="165" formatCode="&quot;B&quot;#,##0_);[Red]\(&quot;B&quot;#,##0\)"/>
    <numFmt numFmtId="166" formatCode="&quot;B&quot;#,##0.00_);\(&quot;B&quot;#,##0.00\)"/>
    <numFmt numFmtId="167" formatCode="&quot;B&quot;#,##0.00_);[Red]\(&quot;B&quot;#,##0.00\)"/>
    <numFmt numFmtId="168" formatCode="_(&quot;B&quot;* #,##0_);_(&quot;B&quot;* \(#,##0\);_(&quot;B&quot;* &quot;-&quot;_);_(@_)"/>
    <numFmt numFmtId="169" formatCode="_(* #,##0_);_(* \(#,##0\);_(* &quot;-&quot;_);_(@_)"/>
    <numFmt numFmtId="170" formatCode="_(&quot;B&quot;* #,##0.00_);_(&quot;B&quot;* \(#,##0.00\);_(&quot;B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0.0%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000000000"/>
    <numFmt numFmtId="197" formatCode="0.00000000000"/>
    <numFmt numFmtId="198" formatCode="0.000000000"/>
    <numFmt numFmtId="199" formatCode="0.0"/>
    <numFmt numFmtId="200" formatCode="_ * #,##0.0_ ;_ * \-#,##0.0_ ;_ * &quot;-&quot;??_ ;_ @_ "/>
    <numFmt numFmtId="201" formatCode="_ * #,##0_ ;_ * \-#,##0_ ;_ * &quot;-&quot;??_ ;_ @_ "/>
    <numFmt numFmtId="202" formatCode="0.000%"/>
    <numFmt numFmtId="203" formatCode="0.0000%"/>
    <numFmt numFmtId="204" formatCode="0.00000%"/>
    <numFmt numFmtId="205" formatCode="0.000000%"/>
    <numFmt numFmtId="206" formatCode="_(* #,##0.0000_);_(* \(#,##0.0000\);_(* &quot;-&quot;??_);_(@_)"/>
    <numFmt numFmtId="207" formatCode="_ * #,##0.0_ ;_ * \-#,##0.0_ ;_ * &quot;-&quot;?_ ;_ @_ 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187" fontId="2" fillId="0" borderId="3" xfId="15" applyNumberFormat="1" applyFont="1" applyBorder="1" applyAlignment="1">
      <alignment/>
    </xf>
    <xf numFmtId="187" fontId="2" fillId="0" borderId="0" xfId="15" applyNumberFormat="1" applyFont="1" applyBorder="1" applyAlignment="1">
      <alignment/>
    </xf>
    <xf numFmtId="187" fontId="2" fillId="0" borderId="4" xfId="15" applyNumberFormat="1" applyFont="1" applyBorder="1" applyAlignment="1">
      <alignment/>
    </xf>
    <xf numFmtId="187" fontId="2" fillId="0" borderId="5" xfId="15" applyNumberFormat="1" applyFont="1" applyBorder="1" applyAlignment="1">
      <alignment/>
    </xf>
    <xf numFmtId="187" fontId="1" fillId="0" borderId="0" xfId="15" applyNumberFormat="1" applyFont="1" applyAlignment="1">
      <alignment/>
    </xf>
    <xf numFmtId="187" fontId="1" fillId="0" borderId="3" xfId="15" applyNumberFormat="1" applyFont="1" applyBorder="1" applyAlignment="1">
      <alignment/>
    </xf>
    <xf numFmtId="187" fontId="1" fillId="0" borderId="0" xfId="15" applyNumberFormat="1" applyFont="1" applyBorder="1" applyAlignment="1">
      <alignment/>
    </xf>
    <xf numFmtId="187" fontId="1" fillId="0" borderId="4" xfId="15" applyNumberFormat="1" applyFont="1" applyBorder="1" applyAlignment="1">
      <alignment/>
    </xf>
    <xf numFmtId="187" fontId="1" fillId="0" borderId="1" xfId="15" applyNumberFormat="1" applyFont="1" applyBorder="1" applyAlignment="1">
      <alignment/>
    </xf>
    <xf numFmtId="187" fontId="1" fillId="0" borderId="6" xfId="15" applyNumberFormat="1" applyFont="1" applyBorder="1" applyAlignment="1">
      <alignment/>
    </xf>
    <xf numFmtId="187" fontId="1" fillId="0" borderId="7" xfId="15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6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10" fontId="1" fillId="0" borderId="0" xfId="19" applyNumberFormat="1" applyFont="1" applyAlignment="1">
      <alignment/>
    </xf>
    <xf numFmtId="10" fontId="1" fillId="0" borderId="3" xfId="19" applyNumberFormat="1" applyFont="1" applyBorder="1" applyAlignment="1">
      <alignment/>
    </xf>
    <xf numFmtId="10" fontId="1" fillId="0" borderId="0" xfId="19" applyNumberFormat="1" applyFont="1" applyBorder="1" applyAlignment="1">
      <alignment/>
    </xf>
    <xf numFmtId="10" fontId="1" fillId="0" borderId="4" xfId="19" applyNumberFormat="1" applyFont="1" applyBorder="1" applyAlignment="1">
      <alignment/>
    </xf>
    <xf numFmtId="10" fontId="1" fillId="0" borderId="1" xfId="19" applyNumberFormat="1" applyFont="1" applyBorder="1" applyAlignment="1">
      <alignment/>
    </xf>
    <xf numFmtId="10" fontId="1" fillId="0" borderId="6" xfId="19" applyNumberFormat="1" applyFont="1" applyBorder="1" applyAlignment="1">
      <alignment/>
    </xf>
    <xf numFmtId="10" fontId="1" fillId="0" borderId="7" xfId="19" applyNumberFormat="1" applyFont="1" applyBorder="1" applyAlignment="1">
      <alignment/>
    </xf>
    <xf numFmtId="189" fontId="1" fillId="0" borderId="0" xfId="19" applyNumberFormat="1" applyFont="1" applyAlignment="1">
      <alignment/>
    </xf>
    <xf numFmtId="189" fontId="1" fillId="0" borderId="3" xfId="19" applyNumberFormat="1" applyFont="1" applyBorder="1" applyAlignment="1">
      <alignment/>
    </xf>
    <xf numFmtId="189" fontId="1" fillId="0" borderId="0" xfId="19" applyNumberFormat="1" applyFont="1" applyBorder="1" applyAlignment="1">
      <alignment/>
    </xf>
    <xf numFmtId="189" fontId="1" fillId="0" borderId="4" xfId="19" applyNumberFormat="1" applyFont="1" applyBorder="1" applyAlignment="1">
      <alignment/>
    </xf>
    <xf numFmtId="189" fontId="1" fillId="0" borderId="1" xfId="19" applyNumberFormat="1" applyFont="1" applyBorder="1" applyAlignment="1">
      <alignment/>
    </xf>
    <xf numFmtId="189" fontId="1" fillId="0" borderId="6" xfId="19" applyNumberFormat="1" applyFont="1" applyBorder="1" applyAlignment="1">
      <alignment/>
    </xf>
    <xf numFmtId="189" fontId="1" fillId="0" borderId="7" xfId="19" applyNumberFormat="1" applyFont="1" applyBorder="1" applyAlignment="1">
      <alignment/>
    </xf>
    <xf numFmtId="0" fontId="1" fillId="0" borderId="5" xfId="0" applyFont="1" applyBorder="1" applyAlignment="1">
      <alignment/>
    </xf>
    <xf numFmtId="171" fontId="1" fillId="0" borderId="0" xfId="15" applyFont="1" applyAlignment="1">
      <alignment/>
    </xf>
    <xf numFmtId="171" fontId="1" fillId="0" borderId="3" xfId="15" applyFont="1" applyBorder="1" applyAlignment="1">
      <alignment/>
    </xf>
    <xf numFmtId="171" fontId="1" fillId="0" borderId="0" xfId="15" applyFont="1" applyBorder="1" applyAlignment="1">
      <alignment/>
    </xf>
    <xf numFmtId="171" fontId="1" fillId="0" borderId="4" xfId="15" applyFont="1" applyBorder="1" applyAlignment="1">
      <alignment/>
    </xf>
    <xf numFmtId="171" fontId="1" fillId="0" borderId="1" xfId="15" applyFont="1" applyBorder="1" applyAlignment="1">
      <alignment/>
    </xf>
    <xf numFmtId="171" fontId="1" fillId="0" borderId="6" xfId="15" applyFont="1" applyBorder="1" applyAlignment="1">
      <alignment/>
    </xf>
    <xf numFmtId="171" fontId="1" fillId="0" borderId="7" xfId="15" applyFont="1" applyBorder="1" applyAlignment="1">
      <alignment/>
    </xf>
    <xf numFmtId="10" fontId="1" fillId="0" borderId="0" xfId="19" applyNumberFormat="1" applyFont="1" applyFill="1" applyBorder="1" applyAlignment="1">
      <alignment/>
    </xf>
    <xf numFmtId="10" fontId="1" fillId="0" borderId="4" xfId="19" applyNumberFormat="1" applyFont="1" applyFill="1" applyBorder="1" applyAlignment="1">
      <alignment/>
    </xf>
    <xf numFmtId="10" fontId="1" fillId="0" borderId="0" xfId="19" applyNumberFormat="1" applyFont="1" applyFill="1" applyAlignment="1">
      <alignment/>
    </xf>
    <xf numFmtId="171" fontId="1" fillId="0" borderId="0" xfId="15" applyNumberFormat="1" applyFont="1" applyFill="1" applyBorder="1" applyAlignment="1">
      <alignment/>
    </xf>
    <xf numFmtId="185" fontId="1" fillId="0" borderId="1" xfId="0" applyNumberFormat="1" applyFont="1" applyFill="1" applyBorder="1" applyAlignment="1">
      <alignment/>
    </xf>
    <xf numFmtId="10" fontId="1" fillId="0" borderId="1" xfId="19" applyNumberFormat="1" applyFont="1" applyFill="1" applyBorder="1" applyAlignment="1">
      <alignment/>
    </xf>
    <xf numFmtId="10" fontId="1" fillId="0" borderId="7" xfId="19" applyNumberFormat="1" applyFont="1" applyFill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right"/>
    </xf>
    <xf numFmtId="49" fontId="2" fillId="0" borderId="7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8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5" sqref="E5"/>
    </sheetView>
  </sheetViews>
  <sheetFormatPr defaultColWidth="11.421875" defaultRowHeight="12.75"/>
  <cols>
    <col min="1" max="1" width="2.57421875" style="1" customWidth="1"/>
    <col min="2" max="2" width="41.28125" style="1" customWidth="1"/>
    <col min="3" max="3" width="9.57421875" style="1" customWidth="1"/>
    <col min="4" max="4" width="10.140625" style="1" customWidth="1"/>
    <col min="5" max="7" width="9.00390625" style="1" bestFit="1" customWidth="1"/>
    <col min="8" max="8" width="11.28125" style="1" customWidth="1"/>
    <col min="9" max="10" width="9.00390625" style="1" bestFit="1" customWidth="1"/>
    <col min="11" max="11" width="9.421875" style="1" customWidth="1"/>
    <col min="12" max="12" width="0.13671875" style="1" hidden="1" customWidth="1"/>
    <col min="13" max="16384" width="11.421875" style="1" customWidth="1"/>
  </cols>
  <sheetData>
    <row r="1" ht="11.25"/>
    <row r="2" spans="2:12" ht="11.25">
      <c r="B2" s="2"/>
      <c r="C2" s="2"/>
      <c r="E2" s="2" t="s">
        <v>0</v>
      </c>
      <c r="F2" s="2"/>
      <c r="I2" s="2"/>
      <c r="J2" s="2"/>
      <c r="K2" s="2"/>
      <c r="L2" s="2"/>
    </row>
    <row r="3" spans="2:12" ht="11.25">
      <c r="B3" s="2"/>
      <c r="C3" s="2"/>
      <c r="E3" s="2" t="s">
        <v>1</v>
      </c>
      <c r="F3" s="2"/>
      <c r="I3" s="2"/>
      <c r="J3" s="2"/>
      <c r="K3" s="2"/>
      <c r="L3" s="2"/>
    </row>
    <row r="4" spans="2:12" ht="11.25">
      <c r="B4" s="2"/>
      <c r="C4" s="2"/>
      <c r="E4" s="2" t="s">
        <v>2</v>
      </c>
      <c r="F4" s="2"/>
      <c r="I4" s="2"/>
      <c r="J4" s="2"/>
      <c r="K4" s="2"/>
      <c r="L4" s="2"/>
    </row>
    <row r="5" spans="2:12" ht="11.25">
      <c r="B5" s="3"/>
      <c r="C5" s="3"/>
      <c r="E5" s="3" t="s">
        <v>3</v>
      </c>
      <c r="F5" s="3"/>
      <c r="I5" s="3"/>
      <c r="J5" s="3"/>
      <c r="K5" s="3"/>
      <c r="L5" s="3"/>
    </row>
    <row r="6" spans="2:12" ht="11.25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1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1.25">
      <c r="A8" s="5"/>
      <c r="B8" s="5"/>
      <c r="C8" s="64">
        <v>2001</v>
      </c>
      <c r="D8" s="64"/>
      <c r="E8" s="64"/>
      <c r="F8" s="65"/>
      <c r="G8" s="63">
        <v>2000</v>
      </c>
      <c r="H8" s="64"/>
      <c r="I8" s="64"/>
      <c r="J8" s="65"/>
      <c r="K8" s="63" t="s">
        <v>4</v>
      </c>
      <c r="L8" s="65"/>
    </row>
    <row r="9" spans="1:12" s="62" customFormat="1" ht="11.25">
      <c r="A9" s="57"/>
      <c r="B9" s="57"/>
      <c r="C9" s="57" t="s">
        <v>5</v>
      </c>
      <c r="D9" s="57" t="s">
        <v>6</v>
      </c>
      <c r="E9" s="57" t="s">
        <v>7</v>
      </c>
      <c r="F9" s="57" t="s">
        <v>8</v>
      </c>
      <c r="G9" s="58" t="s">
        <v>5</v>
      </c>
      <c r="H9" s="57" t="s">
        <v>6</v>
      </c>
      <c r="I9" s="57" t="s">
        <v>7</v>
      </c>
      <c r="J9" s="59" t="s">
        <v>8</v>
      </c>
      <c r="K9" s="60" t="s">
        <v>9</v>
      </c>
      <c r="L9" s="61" t="s">
        <v>10</v>
      </c>
    </row>
    <row r="10" spans="1:12" s="6" customFormat="1" ht="11.25">
      <c r="A10" s="6" t="s">
        <v>11</v>
      </c>
      <c r="G10" s="7"/>
      <c r="H10" s="8"/>
      <c r="I10" s="8"/>
      <c r="J10" s="9"/>
      <c r="K10" s="10"/>
      <c r="L10" s="9"/>
    </row>
    <row r="11" spans="1:12" ht="11.25">
      <c r="A11" s="1" t="s">
        <v>12</v>
      </c>
      <c r="C11" s="11">
        <v>3595505</v>
      </c>
      <c r="D11" s="11">
        <v>3444876</v>
      </c>
      <c r="E11" s="11">
        <v>3748247</v>
      </c>
      <c r="F11" s="11">
        <v>3720324</v>
      </c>
      <c r="G11" s="12">
        <v>3362059</v>
      </c>
      <c r="H11" s="13">
        <v>3356132</v>
      </c>
      <c r="I11" s="13">
        <v>3368833</v>
      </c>
      <c r="J11" s="14">
        <v>3437397</v>
      </c>
      <c r="K11" s="12">
        <v>3546505</v>
      </c>
      <c r="L11" s="14">
        <v>3494168</v>
      </c>
    </row>
    <row r="12" spans="1:12" ht="11.25">
      <c r="A12" s="1" t="s">
        <v>13</v>
      </c>
      <c r="C12" s="11">
        <v>1682675</v>
      </c>
      <c r="D12" s="11">
        <v>1622435</v>
      </c>
      <c r="E12" s="11">
        <v>2021385</v>
      </c>
      <c r="F12" s="11">
        <v>1964943</v>
      </c>
      <c r="G12" s="12">
        <v>1619195</v>
      </c>
      <c r="H12" s="13">
        <v>1620524</v>
      </c>
      <c r="I12" s="13">
        <v>1553864</v>
      </c>
      <c r="J12" s="14">
        <v>1706324</v>
      </c>
      <c r="K12" s="12">
        <v>1807762</v>
      </c>
      <c r="L12" s="14">
        <v>1886976</v>
      </c>
    </row>
    <row r="13" spans="1:12" ht="11.25">
      <c r="A13" s="1" t="s">
        <v>14</v>
      </c>
      <c r="C13" s="11">
        <f aca="true" t="shared" si="0" ref="C13:L13">C14+C15</f>
        <v>1451876</v>
      </c>
      <c r="D13" s="11">
        <f t="shared" si="0"/>
        <v>1466458</v>
      </c>
      <c r="E13" s="11">
        <f t="shared" si="0"/>
        <v>1455550</v>
      </c>
      <c r="F13" s="11">
        <f t="shared" si="0"/>
        <v>1458426</v>
      </c>
      <c r="G13" s="12">
        <f t="shared" si="0"/>
        <v>1433356</v>
      </c>
      <c r="H13" s="13">
        <f t="shared" si="0"/>
        <v>1469392</v>
      </c>
      <c r="I13" s="13">
        <f t="shared" si="0"/>
        <v>1442981</v>
      </c>
      <c r="J13" s="14">
        <f t="shared" si="0"/>
        <v>1476203</v>
      </c>
      <c r="K13" s="12">
        <f t="shared" si="0"/>
        <v>1440093</v>
      </c>
      <c r="L13" s="14">
        <f t="shared" si="0"/>
        <v>1360605</v>
      </c>
    </row>
    <row r="14" spans="2:12" ht="11.25">
      <c r="B14" s="1" t="s">
        <v>15</v>
      </c>
      <c r="C14" s="11">
        <v>1451876</v>
      </c>
      <c r="D14" s="11">
        <v>1466458</v>
      </c>
      <c r="E14" s="11">
        <v>1455550</v>
      </c>
      <c r="F14" s="11">
        <v>1458401</v>
      </c>
      <c r="G14" s="12">
        <v>1433331</v>
      </c>
      <c r="H14" s="13">
        <v>1469367</v>
      </c>
      <c r="I14" s="13">
        <v>1442956</v>
      </c>
      <c r="J14" s="14">
        <v>1476178</v>
      </c>
      <c r="K14" s="12">
        <v>1435068</v>
      </c>
      <c r="L14" s="14">
        <v>1360580</v>
      </c>
    </row>
    <row r="15" spans="2:12" ht="11.25">
      <c r="B15" s="1" t="s">
        <v>16</v>
      </c>
      <c r="C15" s="11">
        <v>0</v>
      </c>
      <c r="D15" s="11">
        <v>0</v>
      </c>
      <c r="E15" s="11">
        <v>0</v>
      </c>
      <c r="F15" s="11">
        <v>25</v>
      </c>
      <c r="G15" s="12">
        <v>25</v>
      </c>
      <c r="H15" s="13">
        <v>25</v>
      </c>
      <c r="I15" s="13">
        <v>25</v>
      </c>
      <c r="J15" s="14">
        <v>25</v>
      </c>
      <c r="K15" s="12">
        <v>5025</v>
      </c>
      <c r="L15" s="14">
        <v>25</v>
      </c>
    </row>
    <row r="16" spans="1:12" ht="11.25">
      <c r="A16" s="1" t="s">
        <v>17</v>
      </c>
      <c r="C16" s="11">
        <v>347692</v>
      </c>
      <c r="D16" s="11">
        <v>279235</v>
      </c>
      <c r="E16" s="11">
        <v>196715</v>
      </c>
      <c r="F16" s="11">
        <v>206657</v>
      </c>
      <c r="G16" s="12">
        <v>180790</v>
      </c>
      <c r="H16" s="13">
        <v>183325</v>
      </c>
      <c r="I16" s="13">
        <v>294436</v>
      </c>
      <c r="J16" s="14">
        <v>176866</v>
      </c>
      <c r="K16" s="12">
        <v>219261</v>
      </c>
      <c r="L16" s="14">
        <v>170729</v>
      </c>
    </row>
    <row r="17" spans="1:12" ht="11.25">
      <c r="A17" s="1" t="s">
        <v>18</v>
      </c>
      <c r="C17" s="11">
        <f aca="true" t="shared" si="1" ref="C17:L17">C18+C22</f>
        <v>2848655</v>
      </c>
      <c r="D17" s="11">
        <f t="shared" si="1"/>
        <v>2698387</v>
      </c>
      <c r="E17" s="11">
        <f t="shared" si="1"/>
        <v>3026090</v>
      </c>
      <c r="F17" s="11">
        <f t="shared" si="1"/>
        <v>3007965</v>
      </c>
      <c r="G17" s="12">
        <f t="shared" si="1"/>
        <v>2639714</v>
      </c>
      <c r="H17" s="13">
        <f t="shared" si="1"/>
        <v>2617054</v>
      </c>
      <c r="I17" s="13">
        <f t="shared" si="1"/>
        <v>2629791</v>
      </c>
      <c r="J17" s="14">
        <f t="shared" si="1"/>
        <v>2664028</v>
      </c>
      <c r="K17" s="12">
        <f t="shared" si="1"/>
        <v>2774388</v>
      </c>
      <c r="L17" s="14">
        <f t="shared" si="1"/>
        <v>2708633</v>
      </c>
    </row>
    <row r="18" spans="2:12" ht="11.25">
      <c r="B18" s="1" t="s">
        <v>15</v>
      </c>
      <c r="C18" s="11">
        <f aca="true" t="shared" si="2" ref="C18:L18">SUM(C19:C21)</f>
        <v>2802402</v>
      </c>
      <c r="D18" s="11">
        <f t="shared" si="2"/>
        <v>2657735</v>
      </c>
      <c r="E18" s="11">
        <f t="shared" si="2"/>
        <v>2987062</v>
      </c>
      <c r="F18" s="11">
        <f t="shared" si="2"/>
        <v>2961466</v>
      </c>
      <c r="G18" s="12">
        <f t="shared" si="2"/>
        <v>2597230</v>
      </c>
      <c r="H18" s="13">
        <f t="shared" si="2"/>
        <v>2574726</v>
      </c>
      <c r="I18" s="13">
        <f t="shared" si="2"/>
        <v>2590237</v>
      </c>
      <c r="J18" s="14">
        <f t="shared" si="2"/>
        <v>2618553</v>
      </c>
      <c r="K18" s="12">
        <f t="shared" si="2"/>
        <v>2725389</v>
      </c>
      <c r="L18" s="14">
        <f t="shared" si="2"/>
        <v>2660548</v>
      </c>
    </row>
    <row r="19" spans="2:12" ht="11.25">
      <c r="B19" s="1" t="s">
        <v>19</v>
      </c>
      <c r="C19" s="11">
        <f>955663+1080688</f>
        <v>2036351</v>
      </c>
      <c r="D19" s="11">
        <f>1146993+781785</f>
        <v>1928778</v>
      </c>
      <c r="E19" s="11">
        <v>2275655</v>
      </c>
      <c r="F19" s="11">
        <v>2308424</v>
      </c>
      <c r="G19" s="12">
        <v>1913566</v>
      </c>
      <c r="H19" s="13">
        <v>798889</v>
      </c>
      <c r="I19" s="13">
        <v>1980861</v>
      </c>
      <c r="J19" s="14">
        <v>1988284</v>
      </c>
      <c r="K19" s="12">
        <v>2106297</v>
      </c>
      <c r="L19" s="14">
        <v>2052620</v>
      </c>
    </row>
    <row r="20" spans="2:12" ht="11.25">
      <c r="B20" s="1" t="s">
        <v>20</v>
      </c>
      <c r="C20" s="11">
        <v>498880</v>
      </c>
      <c r="D20" s="11">
        <v>479129</v>
      </c>
      <c r="E20" s="11">
        <v>456390</v>
      </c>
      <c r="F20" s="11">
        <v>422619</v>
      </c>
      <c r="G20" s="12">
        <v>390669</v>
      </c>
      <c r="H20" s="13">
        <v>1530478</v>
      </c>
      <c r="I20" s="13">
        <v>357852</v>
      </c>
      <c r="J20" s="14">
        <v>346802</v>
      </c>
      <c r="K20" s="12">
        <v>334968</v>
      </c>
      <c r="L20" s="14">
        <v>335849</v>
      </c>
    </row>
    <row r="21" spans="2:12" ht="11.25">
      <c r="B21" s="1" t="s">
        <v>21</v>
      </c>
      <c r="C21" s="11">
        <v>267171</v>
      </c>
      <c r="D21" s="11">
        <v>249828</v>
      </c>
      <c r="E21" s="11">
        <v>255017</v>
      </c>
      <c r="F21" s="11">
        <v>230423</v>
      </c>
      <c r="G21" s="12">
        <v>292995</v>
      </c>
      <c r="H21" s="13">
        <v>245359</v>
      </c>
      <c r="I21" s="13">
        <v>251524</v>
      </c>
      <c r="J21" s="14">
        <v>283467</v>
      </c>
      <c r="K21" s="12">
        <v>284124</v>
      </c>
      <c r="L21" s="14">
        <v>272079</v>
      </c>
    </row>
    <row r="22" spans="2:12" ht="11.25">
      <c r="B22" s="1" t="s">
        <v>16</v>
      </c>
      <c r="C22" s="11">
        <f aca="true" t="shared" si="3" ref="C22:L22">SUM(C23:C24)</f>
        <v>46253</v>
      </c>
      <c r="D22" s="11">
        <f t="shared" si="3"/>
        <v>40652</v>
      </c>
      <c r="E22" s="11">
        <f t="shared" si="3"/>
        <v>39028</v>
      </c>
      <c r="F22" s="11">
        <f t="shared" si="3"/>
        <v>46499</v>
      </c>
      <c r="G22" s="12">
        <f t="shared" si="3"/>
        <v>42484</v>
      </c>
      <c r="H22" s="13">
        <f t="shared" si="3"/>
        <v>42328</v>
      </c>
      <c r="I22" s="13">
        <f t="shared" si="3"/>
        <v>39554</v>
      </c>
      <c r="J22" s="14">
        <f t="shared" si="3"/>
        <v>45475</v>
      </c>
      <c r="K22" s="12">
        <f t="shared" si="3"/>
        <v>48999</v>
      </c>
      <c r="L22" s="14">
        <f t="shared" si="3"/>
        <v>48085</v>
      </c>
    </row>
    <row r="23" spans="2:12" ht="11.25">
      <c r="B23" s="1" t="s">
        <v>20</v>
      </c>
      <c r="C23" s="11">
        <v>24536</v>
      </c>
      <c r="D23" s="11">
        <v>18480</v>
      </c>
      <c r="E23" s="11">
        <v>18205</v>
      </c>
      <c r="F23" s="11">
        <v>18221</v>
      </c>
      <c r="G23" s="12">
        <v>16130</v>
      </c>
      <c r="H23" s="13">
        <v>16500</v>
      </c>
      <c r="I23" s="13">
        <v>15909</v>
      </c>
      <c r="J23" s="14">
        <v>16367</v>
      </c>
      <c r="K23" s="12">
        <v>15785</v>
      </c>
      <c r="L23" s="14">
        <v>16802</v>
      </c>
    </row>
    <row r="24" spans="2:12" ht="11.25">
      <c r="B24" s="1" t="s">
        <v>21</v>
      </c>
      <c r="C24" s="11">
        <v>21717</v>
      </c>
      <c r="D24" s="11">
        <v>22172</v>
      </c>
      <c r="E24" s="11">
        <v>20823</v>
      </c>
      <c r="F24" s="11">
        <v>28278</v>
      </c>
      <c r="G24" s="12">
        <v>26354</v>
      </c>
      <c r="H24" s="13">
        <v>25828</v>
      </c>
      <c r="I24" s="13">
        <v>23645</v>
      </c>
      <c r="J24" s="14">
        <v>29108</v>
      </c>
      <c r="K24" s="12">
        <v>33214</v>
      </c>
      <c r="L24" s="14">
        <v>31283</v>
      </c>
    </row>
    <row r="25" spans="1:12" ht="11.25">
      <c r="A25" s="4" t="s">
        <v>22</v>
      </c>
      <c r="B25" s="4"/>
      <c r="C25" s="15">
        <v>500000</v>
      </c>
      <c r="D25" s="15">
        <v>506067</v>
      </c>
      <c r="E25" s="15">
        <v>500000</v>
      </c>
      <c r="F25" s="15">
        <v>500000</v>
      </c>
      <c r="G25" s="16">
        <v>500000</v>
      </c>
      <c r="H25" s="15">
        <v>509298</v>
      </c>
      <c r="I25" s="15">
        <v>500000</v>
      </c>
      <c r="J25" s="17">
        <v>510351</v>
      </c>
      <c r="K25" s="16">
        <v>500000</v>
      </c>
      <c r="L25" s="17">
        <v>506839</v>
      </c>
    </row>
    <row r="26" spans="1:12" ht="16.5" customHeight="1">
      <c r="A26" s="6" t="s">
        <v>23</v>
      </c>
      <c r="C26" s="11"/>
      <c r="E26" s="11"/>
      <c r="F26" s="11"/>
      <c r="G26" s="12"/>
      <c r="H26" s="13"/>
      <c r="I26" s="13"/>
      <c r="J26" s="14"/>
      <c r="K26" s="12"/>
      <c r="L26" s="14"/>
    </row>
    <row r="27" spans="1:12" ht="11.25">
      <c r="A27" s="1" t="s">
        <v>12</v>
      </c>
      <c r="C27" s="11">
        <f>(C11+G11)/2</f>
        <v>3478782</v>
      </c>
      <c r="D27" s="11">
        <f>(D11+H11)/2</f>
        <v>3400504</v>
      </c>
      <c r="E27" s="11">
        <f>(E11+I11)/2</f>
        <v>3558540</v>
      </c>
      <c r="F27" s="11">
        <f>(F11+J11)/2</f>
        <v>3578860.5</v>
      </c>
      <c r="G27" s="12">
        <v>3454282</v>
      </c>
      <c r="H27" s="13">
        <v>3409109</v>
      </c>
      <c r="I27" s="13">
        <v>3509072</v>
      </c>
      <c r="J27" s="14">
        <v>3482884</v>
      </c>
      <c r="K27" s="12">
        <f>(K11+L11)/2</f>
        <v>3520336.5</v>
      </c>
      <c r="L27" s="14">
        <f>(3494168+3369339)/2</f>
        <v>3431753.5</v>
      </c>
    </row>
    <row r="28" spans="1:12" ht="11.25">
      <c r="A28" s="1" t="s">
        <v>24</v>
      </c>
      <c r="C28" s="11">
        <f aca="true" t="shared" si="4" ref="C28:L28">C29+C30</f>
        <v>1706857</v>
      </c>
      <c r="D28" s="11">
        <f t="shared" si="4"/>
        <v>1699205</v>
      </c>
      <c r="E28" s="11">
        <f t="shared" si="4"/>
        <v>1694841</v>
      </c>
      <c r="F28" s="11">
        <f t="shared" si="4"/>
        <v>1659076</v>
      </c>
      <c r="G28" s="12">
        <f t="shared" si="4"/>
        <v>1636749</v>
      </c>
      <c r="H28" s="13">
        <f t="shared" si="4"/>
        <v>1647344</v>
      </c>
      <c r="I28" s="13">
        <f t="shared" si="4"/>
        <v>1663630</v>
      </c>
      <c r="J28" s="14">
        <f t="shared" si="4"/>
        <v>1620216</v>
      </c>
      <c r="K28" s="12">
        <f t="shared" si="4"/>
        <v>1595344</v>
      </c>
      <c r="L28" s="14">
        <f t="shared" si="4"/>
        <v>1461800.5</v>
      </c>
    </row>
    <row r="29" spans="2:12" ht="11.25">
      <c r="B29" s="1" t="s">
        <v>14</v>
      </c>
      <c r="C29" s="11">
        <f>(C13+G13)/2</f>
        <v>1442616</v>
      </c>
      <c r="D29" s="11">
        <f>(D13+H13)/2</f>
        <v>1467925</v>
      </c>
      <c r="E29" s="11">
        <f>(E13+I13)/2</f>
        <v>1449265.5</v>
      </c>
      <c r="F29" s="11">
        <f>(F13+J13)/2</f>
        <v>1467314.5</v>
      </c>
      <c r="G29" s="12">
        <v>1436724</v>
      </c>
      <c r="H29" s="13">
        <v>1452776</v>
      </c>
      <c r="I29" s="13">
        <v>1417649</v>
      </c>
      <c r="J29" s="14">
        <v>1438973</v>
      </c>
      <c r="K29" s="12">
        <f>(K13+L13)/2</f>
        <v>1400349</v>
      </c>
      <c r="L29" s="14">
        <f>(1360605+1328903)/2</f>
        <v>1344754</v>
      </c>
    </row>
    <row r="30" spans="2:12" ht="11.25">
      <c r="B30" s="1" t="s">
        <v>17</v>
      </c>
      <c r="C30" s="11">
        <f>(C16+G16)/2</f>
        <v>264241</v>
      </c>
      <c r="D30" s="11">
        <f>(D16+H16)/2</f>
        <v>231280</v>
      </c>
      <c r="E30" s="11">
        <f>(E16+I16)/2</f>
        <v>245575.5</v>
      </c>
      <c r="F30" s="11">
        <f>(F16+J16)/2</f>
        <v>191761.5</v>
      </c>
      <c r="G30" s="12">
        <v>200025</v>
      </c>
      <c r="H30" s="13">
        <v>194568</v>
      </c>
      <c r="I30" s="13">
        <v>245981</v>
      </c>
      <c r="J30" s="14">
        <v>181243</v>
      </c>
      <c r="K30" s="12">
        <f>(K16+L16)/2</f>
        <v>194995</v>
      </c>
      <c r="L30" s="14">
        <f>(170729+63364)/2</f>
        <v>117046.5</v>
      </c>
    </row>
    <row r="31" spans="1:12" ht="11.25">
      <c r="A31" s="4" t="s">
        <v>22</v>
      </c>
      <c r="B31" s="4"/>
      <c r="C31" s="15">
        <f>(C25+G25)/2</f>
        <v>500000</v>
      </c>
      <c r="D31" s="15">
        <f>(D25+H25)/2</f>
        <v>507682.5</v>
      </c>
      <c r="E31" s="15">
        <f>(E25+I25)/2</f>
        <v>500000</v>
      </c>
      <c r="F31" s="15">
        <f>(F25+J25)/2</f>
        <v>505175.5</v>
      </c>
      <c r="G31" s="16">
        <v>500000</v>
      </c>
      <c r="H31" s="15">
        <v>509043</v>
      </c>
      <c r="I31" s="15">
        <v>500000</v>
      </c>
      <c r="J31" s="17">
        <v>521462</v>
      </c>
      <c r="K31" s="16">
        <f>(K25+L25)/2</f>
        <v>503419.5</v>
      </c>
      <c r="L31" s="17">
        <f>(506839+436025)/2</f>
        <v>471432</v>
      </c>
    </row>
    <row r="32" spans="1:12" ht="16.5" customHeight="1">
      <c r="A32" s="6" t="s">
        <v>25</v>
      </c>
      <c r="C32" s="11"/>
      <c r="E32" s="11"/>
      <c r="F32" s="11"/>
      <c r="G32" s="18"/>
      <c r="H32" s="19"/>
      <c r="I32" s="19"/>
      <c r="J32" s="20"/>
      <c r="K32" s="18"/>
      <c r="L32" s="20"/>
    </row>
    <row r="33" spans="1:12" ht="11.25">
      <c r="A33" s="1" t="s">
        <v>26</v>
      </c>
      <c r="C33" s="11">
        <v>218870</v>
      </c>
      <c r="D33" s="11">
        <v>174130</v>
      </c>
      <c r="E33" s="11">
        <v>123205</v>
      </c>
      <c r="F33" s="11">
        <v>63714</v>
      </c>
      <c r="G33" s="21">
        <v>260462</v>
      </c>
      <c r="H33" s="22">
        <v>191570</v>
      </c>
      <c r="I33" s="22">
        <v>124152</v>
      </c>
      <c r="J33" s="23">
        <v>62263</v>
      </c>
      <c r="K33" s="21">
        <v>225869</v>
      </c>
      <c r="L33" s="24">
        <v>182351</v>
      </c>
    </row>
    <row r="34" spans="1:12" ht="11.25">
      <c r="A34" s="1" t="s">
        <v>27</v>
      </c>
      <c r="C34" s="11">
        <v>92028</v>
      </c>
      <c r="D34" s="11">
        <v>77079</v>
      </c>
      <c r="E34" s="11">
        <v>56106</v>
      </c>
      <c r="F34" s="11">
        <v>26245</v>
      </c>
      <c r="G34" s="21">
        <v>108048</v>
      </c>
      <c r="H34" s="22">
        <v>80187</v>
      </c>
      <c r="I34" s="22">
        <v>51842</v>
      </c>
      <c r="J34" s="23">
        <v>25916</v>
      </c>
      <c r="K34" s="21">
        <v>92178</v>
      </c>
      <c r="L34" s="24">
        <v>83331</v>
      </c>
    </row>
    <row r="35" spans="1:12" ht="11.25">
      <c r="A35" s="1" t="s">
        <v>28</v>
      </c>
      <c r="C35" s="11">
        <f aca="true" t="shared" si="5" ref="C35:L35">C33-C34</f>
        <v>126842</v>
      </c>
      <c r="D35" s="11">
        <f t="shared" si="5"/>
        <v>97051</v>
      </c>
      <c r="E35" s="11">
        <f t="shared" si="5"/>
        <v>67099</v>
      </c>
      <c r="F35" s="11">
        <f t="shared" si="5"/>
        <v>37469</v>
      </c>
      <c r="G35" s="21">
        <f t="shared" si="5"/>
        <v>152414</v>
      </c>
      <c r="H35" s="22">
        <f t="shared" si="5"/>
        <v>111383</v>
      </c>
      <c r="I35" s="22">
        <f t="shared" si="5"/>
        <v>72310</v>
      </c>
      <c r="J35" s="23">
        <f t="shared" si="5"/>
        <v>36347</v>
      </c>
      <c r="K35" s="21">
        <f t="shared" si="5"/>
        <v>133691</v>
      </c>
      <c r="L35" s="24">
        <f t="shared" si="5"/>
        <v>99020</v>
      </c>
    </row>
    <row r="36" spans="1:12" ht="11.25">
      <c r="A36" s="1" t="s">
        <v>29</v>
      </c>
      <c r="C36" s="11">
        <v>12781</v>
      </c>
      <c r="D36" s="11">
        <v>7396</v>
      </c>
      <c r="E36" s="11">
        <v>7192</v>
      </c>
      <c r="F36" s="11">
        <v>2052</v>
      </c>
      <c r="G36" s="21">
        <v>9103</v>
      </c>
      <c r="H36" s="22">
        <v>5259</v>
      </c>
      <c r="I36" s="22">
        <v>3634</v>
      </c>
      <c r="J36" s="23">
        <v>2120</v>
      </c>
      <c r="K36" s="21">
        <v>11336</v>
      </c>
      <c r="L36" s="24">
        <v>20664</v>
      </c>
    </row>
    <row r="37" spans="1:12" ht="11.25">
      <c r="A37" s="1" t="s">
        <v>30</v>
      </c>
      <c r="C37" s="11">
        <f aca="true" t="shared" si="6" ref="C37:L37">C35+C36</f>
        <v>139623</v>
      </c>
      <c r="D37" s="11">
        <f t="shared" si="6"/>
        <v>104447</v>
      </c>
      <c r="E37" s="11">
        <f t="shared" si="6"/>
        <v>74291</v>
      </c>
      <c r="F37" s="11">
        <f t="shared" si="6"/>
        <v>39521</v>
      </c>
      <c r="G37" s="21">
        <f t="shared" si="6"/>
        <v>161517</v>
      </c>
      <c r="H37" s="22">
        <f t="shared" si="6"/>
        <v>116642</v>
      </c>
      <c r="I37" s="22">
        <f t="shared" si="6"/>
        <v>75944</v>
      </c>
      <c r="J37" s="23">
        <f t="shared" si="6"/>
        <v>38467</v>
      </c>
      <c r="K37" s="21">
        <f t="shared" si="6"/>
        <v>145027</v>
      </c>
      <c r="L37" s="24">
        <f t="shared" si="6"/>
        <v>119684</v>
      </c>
    </row>
    <row r="38" spans="1:12" ht="11.25">
      <c r="A38" s="1" t="s">
        <v>31</v>
      </c>
      <c r="C38" s="11">
        <v>44859</v>
      </c>
      <c r="D38" s="11">
        <v>32585</v>
      </c>
      <c r="E38" s="11">
        <v>21190</v>
      </c>
      <c r="F38" s="11">
        <v>10414</v>
      </c>
      <c r="G38" s="21">
        <v>43266</v>
      </c>
      <c r="H38" s="22">
        <v>30693</v>
      </c>
      <c r="I38" s="22">
        <v>19772</v>
      </c>
      <c r="J38" s="23">
        <v>9728</v>
      </c>
      <c r="K38" s="21">
        <v>39723</v>
      </c>
      <c r="L38" s="24">
        <v>48871</v>
      </c>
    </row>
    <row r="39" spans="1:12" ht="11.25">
      <c r="A39" s="1" t="s">
        <v>32</v>
      </c>
      <c r="C39" s="11">
        <f aca="true" t="shared" si="7" ref="C39:L39">C37-C38</f>
        <v>94764</v>
      </c>
      <c r="D39" s="11">
        <f t="shared" si="7"/>
        <v>71862</v>
      </c>
      <c r="E39" s="11">
        <f t="shared" si="7"/>
        <v>53101</v>
      </c>
      <c r="F39" s="11">
        <f t="shared" si="7"/>
        <v>29107</v>
      </c>
      <c r="G39" s="21">
        <f t="shared" si="7"/>
        <v>118251</v>
      </c>
      <c r="H39" s="22">
        <f t="shared" si="7"/>
        <v>85949</v>
      </c>
      <c r="I39" s="22">
        <f t="shared" si="7"/>
        <v>56172</v>
      </c>
      <c r="J39" s="23">
        <f t="shared" si="7"/>
        <v>28739</v>
      </c>
      <c r="K39" s="21">
        <f t="shared" si="7"/>
        <v>105304</v>
      </c>
      <c r="L39" s="24">
        <f t="shared" si="7"/>
        <v>70813</v>
      </c>
    </row>
    <row r="40" spans="1:12" ht="11.25">
      <c r="A40" s="4" t="s">
        <v>33</v>
      </c>
      <c r="B40" s="4"/>
      <c r="C40" s="15">
        <v>74954</v>
      </c>
      <c r="D40" s="15">
        <v>57453</v>
      </c>
      <c r="E40" s="15">
        <v>41292</v>
      </c>
      <c r="F40" s="15">
        <v>26298</v>
      </c>
      <c r="G40" s="25">
        <v>117251</v>
      </c>
      <c r="H40" s="26">
        <v>85949</v>
      </c>
      <c r="I40" s="26">
        <v>56172</v>
      </c>
      <c r="J40" s="27">
        <v>28739</v>
      </c>
      <c r="K40" s="25">
        <v>105304</v>
      </c>
      <c r="L40" s="26">
        <v>70813</v>
      </c>
    </row>
    <row r="41" spans="1:11" ht="15.75" customHeight="1">
      <c r="A41" s="6" t="s">
        <v>34</v>
      </c>
      <c r="C41" s="11"/>
      <c r="E41" s="11"/>
      <c r="G41" s="18"/>
      <c r="H41" s="19"/>
      <c r="I41" s="19"/>
      <c r="J41" s="20"/>
      <c r="K41" s="18"/>
    </row>
    <row r="42" spans="1:12" ht="11.25">
      <c r="A42" s="1" t="s">
        <v>35</v>
      </c>
      <c r="C42" s="11">
        <v>11889</v>
      </c>
      <c r="D42" s="11">
        <v>14053</v>
      </c>
      <c r="E42" s="11">
        <v>12213</v>
      </c>
      <c r="F42" s="11">
        <v>9047</v>
      </c>
      <c r="G42" s="12">
        <v>6304</v>
      </c>
      <c r="H42" s="13">
        <v>6608</v>
      </c>
      <c r="I42" s="13">
        <v>6062</v>
      </c>
      <c r="J42" s="14">
        <v>6617</v>
      </c>
      <c r="K42" s="12">
        <v>4472</v>
      </c>
      <c r="L42" s="11">
        <v>4942</v>
      </c>
    </row>
    <row r="43" spans="1:12" ht="11.25">
      <c r="A43" s="1" t="s">
        <v>36</v>
      </c>
      <c r="C43" s="11">
        <v>26996</v>
      </c>
      <c r="D43" s="11">
        <v>22331</v>
      </c>
      <c r="E43" s="11">
        <v>20056</v>
      </c>
      <c r="F43" s="11">
        <v>13711</v>
      </c>
      <c r="G43" s="12">
        <v>16948</v>
      </c>
      <c r="H43" s="13">
        <v>16184</v>
      </c>
      <c r="I43" s="13">
        <v>16225</v>
      </c>
      <c r="J43" s="14">
        <v>16595</v>
      </c>
      <c r="K43" s="12">
        <v>16657</v>
      </c>
      <c r="L43" s="11">
        <v>17645</v>
      </c>
    </row>
    <row r="44" spans="1:12" ht="11.25">
      <c r="A44" s="1" t="s">
        <v>37</v>
      </c>
      <c r="C44" s="28">
        <f aca="true" t="shared" si="8" ref="C44:L44">C42/C13</f>
        <v>0.00818871584074673</v>
      </c>
      <c r="D44" s="28">
        <f t="shared" si="8"/>
        <v>0.009582954302134804</v>
      </c>
      <c r="E44" s="28">
        <f t="shared" si="8"/>
        <v>0.008390642712376765</v>
      </c>
      <c r="F44" s="28">
        <f t="shared" si="8"/>
        <v>0.006203262969804433</v>
      </c>
      <c r="G44" s="29">
        <f t="shared" si="8"/>
        <v>0.004398069984009555</v>
      </c>
      <c r="H44" s="30">
        <f t="shared" si="8"/>
        <v>0.004497098119494321</v>
      </c>
      <c r="I44" s="30">
        <f t="shared" si="8"/>
        <v>0.0042010255159284846</v>
      </c>
      <c r="J44" s="31">
        <f t="shared" si="8"/>
        <v>0.004482445842475594</v>
      </c>
      <c r="K44" s="29">
        <f t="shared" si="8"/>
        <v>0.0031053550013783833</v>
      </c>
      <c r="L44" s="28">
        <f t="shared" si="8"/>
        <v>0.003632207731119612</v>
      </c>
    </row>
    <row r="45" spans="1:12" ht="11.25">
      <c r="A45" s="1" t="s">
        <v>38</v>
      </c>
      <c r="C45" s="28">
        <f aca="true" t="shared" si="9" ref="C45:L45">C43/C42</f>
        <v>2.2706703675666584</v>
      </c>
      <c r="D45" s="28">
        <f t="shared" si="9"/>
        <v>1.5890557176403615</v>
      </c>
      <c r="E45" s="28">
        <f t="shared" si="9"/>
        <v>1.6421845574387948</v>
      </c>
      <c r="F45" s="28">
        <f t="shared" si="9"/>
        <v>1.515530009948049</v>
      </c>
      <c r="G45" s="29">
        <f t="shared" si="9"/>
        <v>2.688451776649746</v>
      </c>
      <c r="H45" s="30">
        <f t="shared" si="9"/>
        <v>2.4491525423728815</v>
      </c>
      <c r="I45" s="30">
        <f t="shared" si="9"/>
        <v>2.6765094028373473</v>
      </c>
      <c r="J45" s="31">
        <f t="shared" si="9"/>
        <v>2.507934109112891</v>
      </c>
      <c r="K45" s="29">
        <f t="shared" si="9"/>
        <v>3.724731663685152</v>
      </c>
      <c r="L45" s="28">
        <f t="shared" si="9"/>
        <v>3.5704168352893566</v>
      </c>
    </row>
    <row r="46" spans="1:12" ht="11.25">
      <c r="A46" s="4" t="s">
        <v>39</v>
      </c>
      <c r="B46" s="4"/>
      <c r="C46" s="32">
        <f aca="true" t="shared" si="10" ref="C46:L46">C43/C13</f>
        <v>0.018593874408007294</v>
      </c>
      <c r="D46" s="32">
        <f t="shared" si="10"/>
        <v>0.01522784832569361</v>
      </c>
      <c r="E46" s="32">
        <f t="shared" si="10"/>
        <v>0.013778983889251487</v>
      </c>
      <c r="F46" s="32">
        <f t="shared" si="10"/>
        <v>0.009401231190338076</v>
      </c>
      <c r="G46" s="33">
        <f t="shared" si="10"/>
        <v>0.011823999062340409</v>
      </c>
      <c r="H46" s="32">
        <f t="shared" si="10"/>
        <v>0.011014079292659821</v>
      </c>
      <c r="I46" s="32">
        <f t="shared" si="10"/>
        <v>0.011244084294942206</v>
      </c>
      <c r="J46" s="34">
        <f t="shared" si="10"/>
        <v>0.011241678820595812</v>
      </c>
      <c r="K46" s="33">
        <f t="shared" si="10"/>
        <v>0.011566614100617113</v>
      </c>
      <c r="L46" s="32">
        <f t="shared" si="10"/>
        <v>0.01296849563245762</v>
      </c>
    </row>
    <row r="47" spans="1:11" ht="14.25" customHeight="1">
      <c r="A47" s="6" t="s">
        <v>40</v>
      </c>
      <c r="G47" s="18"/>
      <c r="H47" s="19"/>
      <c r="I47" s="19"/>
      <c r="J47" s="20"/>
      <c r="K47" s="18"/>
    </row>
    <row r="48" spans="1:12" ht="11.25">
      <c r="A48" s="1" t="s">
        <v>41</v>
      </c>
      <c r="C48" s="28">
        <f aca="true" t="shared" si="11" ref="C48:L48">C25/(C13+C16)</f>
        <v>0.27784446044828537</v>
      </c>
      <c r="D48" s="28">
        <f t="shared" si="11"/>
        <v>0.2898946149179724</v>
      </c>
      <c r="E48" s="28">
        <f t="shared" si="11"/>
        <v>0.30261489531037694</v>
      </c>
      <c r="F48" s="28">
        <f t="shared" si="11"/>
        <v>0.30028533112163175</v>
      </c>
      <c r="G48" s="29">
        <f t="shared" si="11"/>
        <v>0.30976132270562884</v>
      </c>
      <c r="H48" s="30">
        <f t="shared" si="11"/>
        <v>0.308158021004201</v>
      </c>
      <c r="I48" s="30">
        <f t="shared" si="11"/>
        <v>0.2877835315298515</v>
      </c>
      <c r="J48" s="31">
        <f t="shared" si="11"/>
        <v>0.3087293996802311</v>
      </c>
      <c r="K48" s="29">
        <f t="shared" si="11"/>
        <v>0.30132208076154937</v>
      </c>
      <c r="L48" s="28">
        <f t="shared" si="11"/>
        <v>0.3309787414110834</v>
      </c>
    </row>
    <row r="49" spans="1:12" ht="11.25">
      <c r="A49" s="4" t="s">
        <v>42</v>
      </c>
      <c r="B49" s="4"/>
      <c r="C49" s="32">
        <f aca="true" t="shared" si="12" ref="C49:L49">C25/C13</f>
        <v>0.3443820271152633</v>
      </c>
      <c r="D49" s="32">
        <f t="shared" si="12"/>
        <v>0.3450947793936137</v>
      </c>
      <c r="E49" s="32">
        <f t="shared" si="12"/>
        <v>0.3435127614990897</v>
      </c>
      <c r="F49" s="32">
        <f t="shared" si="12"/>
        <v>0.3428353581189584</v>
      </c>
      <c r="G49" s="33">
        <f t="shared" si="12"/>
        <v>0.3488316928941589</v>
      </c>
      <c r="H49" s="32">
        <f t="shared" si="12"/>
        <v>0.3466045820312075</v>
      </c>
      <c r="I49" s="32">
        <f t="shared" si="12"/>
        <v>0.3465049089350449</v>
      </c>
      <c r="J49" s="34">
        <f t="shared" si="12"/>
        <v>0.3457187121283455</v>
      </c>
      <c r="K49" s="33">
        <f t="shared" si="12"/>
        <v>0.34719979890187647</v>
      </c>
      <c r="L49" s="32">
        <f t="shared" si="12"/>
        <v>0.37251002311471737</v>
      </c>
    </row>
    <row r="50" spans="1:11" ht="16.5" customHeight="1">
      <c r="A50" s="6" t="s">
        <v>43</v>
      </c>
      <c r="G50" s="18"/>
      <c r="H50" s="19"/>
      <c r="I50" s="19"/>
      <c r="J50" s="20"/>
      <c r="K50" s="18"/>
    </row>
    <row r="51" spans="1:12" ht="11.25">
      <c r="A51" s="1" t="s">
        <v>44</v>
      </c>
      <c r="C51" s="35">
        <f aca="true" t="shared" si="13" ref="C51:L51">C12/C17</f>
        <v>0.590691045423191</v>
      </c>
      <c r="D51" s="35">
        <f t="shared" si="13"/>
        <v>0.6012610496567024</v>
      </c>
      <c r="E51" s="35">
        <f t="shared" si="13"/>
        <v>0.667985750589044</v>
      </c>
      <c r="F51" s="35">
        <f t="shared" si="13"/>
        <v>0.6532466301968274</v>
      </c>
      <c r="G51" s="36">
        <f t="shared" si="13"/>
        <v>0.6133978908321128</v>
      </c>
      <c r="H51" s="37">
        <f t="shared" si="13"/>
        <v>0.6192168751580976</v>
      </c>
      <c r="I51" s="37">
        <f t="shared" si="13"/>
        <v>0.5908697687382761</v>
      </c>
      <c r="J51" s="38">
        <f t="shared" si="13"/>
        <v>0.6405052799745348</v>
      </c>
      <c r="K51" s="36">
        <f t="shared" si="13"/>
        <v>0.6515894676591738</v>
      </c>
      <c r="L51" s="35">
        <f t="shared" si="13"/>
        <v>0.6966525180783074</v>
      </c>
    </row>
    <row r="52" spans="1:12" ht="11.25">
      <c r="A52" s="1" t="s">
        <v>45</v>
      </c>
      <c r="C52" s="35">
        <f aca="true" t="shared" si="14" ref="C52:L52">C12/C11</f>
        <v>0.46799406481147987</v>
      </c>
      <c r="D52" s="35">
        <f t="shared" si="14"/>
        <v>0.4709705080821487</v>
      </c>
      <c r="E52" s="35">
        <f t="shared" si="14"/>
        <v>0.5392880992101108</v>
      </c>
      <c r="F52" s="35">
        <f t="shared" si="14"/>
        <v>0.5281644824483029</v>
      </c>
      <c r="G52" s="36">
        <f t="shared" si="14"/>
        <v>0.48160814548465686</v>
      </c>
      <c r="H52" s="37">
        <f t="shared" si="14"/>
        <v>0.4828546672180951</v>
      </c>
      <c r="I52" s="37">
        <f t="shared" si="14"/>
        <v>0.4612469659374626</v>
      </c>
      <c r="J52" s="38">
        <f t="shared" si="14"/>
        <v>0.4964000375865808</v>
      </c>
      <c r="K52" s="36">
        <f t="shared" si="14"/>
        <v>0.5097305657259753</v>
      </c>
      <c r="L52" s="35">
        <f t="shared" si="14"/>
        <v>0.5400358540287702</v>
      </c>
    </row>
    <row r="53" spans="1:12" ht="11.25">
      <c r="A53" s="4" t="s">
        <v>46</v>
      </c>
      <c r="B53" s="4"/>
      <c r="C53" s="39">
        <f aca="true" t="shared" si="15" ref="C53:L53">(C12+C16)/C17</f>
        <v>0.7127458397032985</v>
      </c>
      <c r="D53" s="39">
        <f t="shared" si="15"/>
        <v>0.7047432410547486</v>
      </c>
      <c r="E53" s="39">
        <f t="shared" si="15"/>
        <v>0.732992078887277</v>
      </c>
      <c r="F53" s="39">
        <f t="shared" si="15"/>
        <v>0.7219498897094879</v>
      </c>
      <c r="G53" s="40">
        <f t="shared" si="15"/>
        <v>0.6818863710235276</v>
      </c>
      <c r="H53" s="39">
        <f t="shared" si="15"/>
        <v>0.6892670155067492</v>
      </c>
      <c r="I53" s="39">
        <f t="shared" si="15"/>
        <v>0.7028315177898168</v>
      </c>
      <c r="J53" s="41">
        <f t="shared" si="15"/>
        <v>0.7068957233182234</v>
      </c>
      <c r="K53" s="40">
        <f t="shared" si="15"/>
        <v>0.730619870039807</v>
      </c>
      <c r="L53" s="39">
        <f t="shared" si="15"/>
        <v>0.7596839438934695</v>
      </c>
    </row>
    <row r="54" spans="1:11" ht="16.5" customHeight="1">
      <c r="A54" s="6" t="s">
        <v>47</v>
      </c>
      <c r="G54" s="18"/>
      <c r="H54" s="19"/>
      <c r="I54" s="19"/>
      <c r="J54" s="20"/>
      <c r="K54" s="18"/>
    </row>
    <row r="55" spans="1:12" ht="11.25">
      <c r="A55" s="1" t="s">
        <v>48</v>
      </c>
      <c r="B55" s="19"/>
      <c r="C55" s="30">
        <f>(C40)/C28</f>
        <v>0.04391346199476582</v>
      </c>
      <c r="D55" s="28">
        <f>((D40)/0.75)/D28</f>
        <v>0.0450822590564411</v>
      </c>
      <c r="E55" s="28">
        <f>((E40)/0.5)/E28</f>
        <v>0.04872669471649553</v>
      </c>
      <c r="F55" s="28">
        <f>((F40)/0.25)/F28</f>
        <v>0.06340396702742973</v>
      </c>
      <c r="G55" s="29">
        <f>(G40)/G28</f>
        <v>0.07163651848878479</v>
      </c>
      <c r="H55" s="30">
        <f>((H40)/0.75)/H28</f>
        <v>0.06956571709774441</v>
      </c>
      <c r="I55" s="30">
        <f>((I40)/0.5)/I28</f>
        <v>0.06752943863719697</v>
      </c>
      <c r="J55" s="31">
        <f>((J40)/0.25)/J28</f>
        <v>0.07095103368933525</v>
      </c>
      <c r="K55" s="29">
        <f>K40/K28</f>
        <v>0.06600708060455927</v>
      </c>
      <c r="L55" s="28">
        <f>L40/L28</f>
        <v>0.04844231480287495</v>
      </c>
    </row>
    <row r="56" spans="1:12" ht="11.25">
      <c r="A56" s="1" t="s">
        <v>49</v>
      </c>
      <c r="B56" s="19"/>
      <c r="C56" s="30">
        <f>(C40)/C27</f>
        <v>0.02154604686352867</v>
      </c>
      <c r="D56" s="28">
        <f>((D40)/0.75)/D27</f>
        <v>0.02252724890192748</v>
      </c>
      <c r="E56" s="28">
        <f>((E40)/0.5)/E27</f>
        <v>0.023207270397410173</v>
      </c>
      <c r="F56" s="28">
        <f>((F40)/0.25)/F27</f>
        <v>0.029392595771754723</v>
      </c>
      <c r="G56" s="29">
        <f>(G40)/G27</f>
        <v>0.03394366759865002</v>
      </c>
      <c r="H56" s="30">
        <f>((H40)/0.75)/H27</f>
        <v>0.033615430503004355</v>
      </c>
      <c r="I56" s="30">
        <f>((I40)/0.5)/I27</f>
        <v>0.032015302051368565</v>
      </c>
      <c r="J56" s="31">
        <f>((J40)/0.25)/J27</f>
        <v>0.033005980101548024</v>
      </c>
      <c r="K56" s="29">
        <f>K40/K27</f>
        <v>0.029913049505352684</v>
      </c>
      <c r="L56" s="28">
        <f>L40/L27</f>
        <v>0.02063464057077526</v>
      </c>
    </row>
    <row r="57" spans="1:12" ht="11.25">
      <c r="A57" s="1" t="s">
        <v>50</v>
      </c>
      <c r="B57" s="19"/>
      <c r="C57" s="30">
        <f>(C40)/C31</f>
        <v>0.149908</v>
      </c>
      <c r="D57" s="28">
        <f>((D40)/0.75)/D31</f>
        <v>0.1508895815790381</v>
      </c>
      <c r="E57" s="28">
        <f>((E40)/0.5)/E31</f>
        <v>0.165168</v>
      </c>
      <c r="F57" s="28">
        <f>((F40)/0.25)/F31</f>
        <v>0.20822862549747562</v>
      </c>
      <c r="G57" s="29">
        <f>(G40)/G31</f>
        <v>0.234502</v>
      </c>
      <c r="H57" s="30">
        <f>((H40)/0.75)/H31</f>
        <v>0.22512570974685178</v>
      </c>
      <c r="I57" s="30">
        <f>((I40)/0.5)/I31</f>
        <v>0.224688</v>
      </c>
      <c r="J57" s="31">
        <f>((J40)/0.25)/J31</f>
        <v>0.22044942872155593</v>
      </c>
      <c r="K57" s="29">
        <f>K40/K31</f>
        <v>0.20917743551848905</v>
      </c>
      <c r="L57" s="28">
        <f>L40/L31</f>
        <v>0.15020830151538292</v>
      </c>
    </row>
    <row r="58" spans="1:12" ht="11.25">
      <c r="A58" s="1" t="s">
        <v>51</v>
      </c>
      <c r="B58" s="19"/>
      <c r="C58" s="30">
        <f aca="true" t="shared" si="16" ref="C58:L58">(C33)/C28</f>
        <v>0.12822983999245396</v>
      </c>
      <c r="D58" s="30">
        <f t="shared" si="16"/>
        <v>0.10247733498900957</v>
      </c>
      <c r="E58" s="30">
        <f t="shared" si="16"/>
        <v>0.07269413473004252</v>
      </c>
      <c r="F58" s="31">
        <f t="shared" si="16"/>
        <v>0.038403304007773004</v>
      </c>
      <c r="G58" s="30">
        <f t="shared" si="16"/>
        <v>0.15913374622498624</v>
      </c>
      <c r="H58" s="30">
        <f t="shared" si="16"/>
        <v>0.11629022232150663</v>
      </c>
      <c r="I58" s="30">
        <f t="shared" si="16"/>
        <v>0.07462717070502456</v>
      </c>
      <c r="J58" s="31">
        <f t="shared" si="16"/>
        <v>0.03842882677371412</v>
      </c>
      <c r="K58" s="29">
        <f t="shared" si="16"/>
        <v>0.1415801231583909</v>
      </c>
      <c r="L58" s="30">
        <f t="shared" si="16"/>
        <v>0.12474410837867411</v>
      </c>
    </row>
    <row r="59" spans="1:12" ht="11.25">
      <c r="A59" s="1" t="s">
        <v>52</v>
      </c>
      <c r="B59" s="19"/>
      <c r="C59" s="30">
        <f aca="true" t="shared" si="17" ref="C59:L59">(C34)/C28</f>
        <v>0.05391664328060289</v>
      </c>
      <c r="D59" s="30">
        <f t="shared" si="17"/>
        <v>0.04536180154837115</v>
      </c>
      <c r="E59" s="30">
        <f t="shared" si="17"/>
        <v>0.03310399028581442</v>
      </c>
      <c r="F59" s="31">
        <f t="shared" si="17"/>
        <v>0.015819046264306157</v>
      </c>
      <c r="G59" s="30">
        <f t="shared" si="17"/>
        <v>0.06601378708647447</v>
      </c>
      <c r="H59" s="30">
        <f t="shared" si="17"/>
        <v>0.04867653629114502</v>
      </c>
      <c r="I59" s="30">
        <f t="shared" si="17"/>
        <v>0.031161977122316862</v>
      </c>
      <c r="J59" s="31">
        <f t="shared" si="17"/>
        <v>0.01599539814444494</v>
      </c>
      <c r="K59" s="29">
        <f t="shared" si="17"/>
        <v>0.05777938801913569</v>
      </c>
      <c r="L59" s="30">
        <f t="shared" si="17"/>
        <v>0.057005726841658624</v>
      </c>
    </row>
    <row r="60" spans="1:12" ht="11.25">
      <c r="A60" s="1" t="s">
        <v>53</v>
      </c>
      <c r="B60" s="19"/>
      <c r="C60" s="30">
        <f aca="true" t="shared" si="18" ref="C60:L60">(C35)/C28</f>
        <v>0.07431319671185108</v>
      </c>
      <c r="D60" s="30">
        <f t="shared" si="18"/>
        <v>0.05711553344063842</v>
      </c>
      <c r="E60" s="30">
        <f t="shared" si="18"/>
        <v>0.0395901444442281</v>
      </c>
      <c r="F60" s="31">
        <f t="shared" si="18"/>
        <v>0.022584257743466847</v>
      </c>
      <c r="G60" s="30">
        <f t="shared" si="18"/>
        <v>0.09311995913851177</v>
      </c>
      <c r="H60" s="30">
        <f t="shared" si="18"/>
        <v>0.0676136860303616</v>
      </c>
      <c r="I60" s="30">
        <f t="shared" si="18"/>
        <v>0.043465193582707694</v>
      </c>
      <c r="J60" s="31">
        <f t="shared" si="18"/>
        <v>0.022433428629269184</v>
      </c>
      <c r="K60" s="29">
        <f t="shared" si="18"/>
        <v>0.08380073513925523</v>
      </c>
      <c r="L60" s="30">
        <f t="shared" si="18"/>
        <v>0.06773838153701549</v>
      </c>
    </row>
    <row r="61" spans="1:12" ht="11.25">
      <c r="A61" s="1" t="s">
        <v>54</v>
      </c>
      <c r="B61" s="19"/>
      <c r="C61" s="30">
        <f>(C38)/(C37)</f>
        <v>0.3212866075073591</v>
      </c>
      <c r="D61" s="28">
        <f>(D38/0.75)/(D37/0.75)</f>
        <v>0.3119764090878627</v>
      </c>
      <c r="E61" s="28">
        <f>(E38/0.5)/(E37/0.5)</f>
        <v>0.28522970480946547</v>
      </c>
      <c r="F61" s="28">
        <f>(F38/0.25)/(F37/0.25)</f>
        <v>0.2635054781002505</v>
      </c>
      <c r="G61" s="29">
        <f>(G38)/(G37)</f>
        <v>0.2678727316629209</v>
      </c>
      <c r="H61" s="30">
        <f>((H38)/0.75)/((H37)/0.75)</f>
        <v>0.26313849213833784</v>
      </c>
      <c r="I61" s="30">
        <f>((I38)/0.5)/((I37)/0.5)</f>
        <v>0.2603497313810176</v>
      </c>
      <c r="J61" s="31">
        <f>(J38/0.25)/(J37/0.25)</f>
        <v>0.2528920893233161</v>
      </c>
      <c r="K61" s="29">
        <f>K38/K37</f>
        <v>0.27390072193453635</v>
      </c>
      <c r="L61" s="28">
        <f>L38/L37</f>
        <v>0.40833361184452394</v>
      </c>
    </row>
    <row r="62" spans="1:12" ht="11.25">
      <c r="A62" s="4" t="s">
        <v>55</v>
      </c>
      <c r="B62" s="4"/>
      <c r="C62" s="32">
        <f aca="true" t="shared" si="19" ref="C62:L62">(C36)/C28</f>
        <v>0.007488032096420497</v>
      </c>
      <c r="D62" s="32">
        <f t="shared" si="19"/>
        <v>0.004352623726978204</v>
      </c>
      <c r="E62" s="32">
        <f t="shared" si="19"/>
        <v>0.004243465906241352</v>
      </c>
      <c r="F62" s="34">
        <f t="shared" si="19"/>
        <v>0.001236833032362592</v>
      </c>
      <c r="G62" s="32">
        <f t="shared" si="19"/>
        <v>0.005561634679477428</v>
      </c>
      <c r="H62" s="32">
        <f t="shared" si="19"/>
        <v>0.0031924115424586488</v>
      </c>
      <c r="I62" s="32">
        <f t="shared" si="19"/>
        <v>0.0021843799402511375</v>
      </c>
      <c r="J62" s="34">
        <f t="shared" si="19"/>
        <v>0.0013084675129735788</v>
      </c>
      <c r="K62" s="33">
        <f t="shared" si="19"/>
        <v>0.00710567752158782</v>
      </c>
      <c r="L62" s="32">
        <f t="shared" si="19"/>
        <v>0.014135991881245081</v>
      </c>
    </row>
    <row r="63" spans="1:11" ht="16.5" customHeight="1">
      <c r="A63" s="6" t="s">
        <v>56</v>
      </c>
      <c r="B63" s="19"/>
      <c r="F63" s="11"/>
      <c r="G63" s="18"/>
      <c r="H63" s="19"/>
      <c r="I63" s="19"/>
      <c r="J63" s="20"/>
      <c r="K63" s="42"/>
    </row>
    <row r="64" spans="1:12" ht="11.25">
      <c r="A64" s="1" t="s">
        <v>57</v>
      </c>
      <c r="B64" s="19"/>
      <c r="C64" s="11">
        <v>2208</v>
      </c>
      <c r="D64" s="11">
        <v>2221</v>
      </c>
      <c r="E64" s="11">
        <v>2223</v>
      </c>
      <c r="F64" s="11">
        <v>2229</v>
      </c>
      <c r="G64" s="12">
        <v>2242</v>
      </c>
      <c r="H64" s="13">
        <v>2223</v>
      </c>
      <c r="I64" s="13">
        <v>2204</v>
      </c>
      <c r="J64" s="14">
        <v>2179</v>
      </c>
      <c r="K64" s="12">
        <v>2123</v>
      </c>
      <c r="L64" s="11">
        <v>2116</v>
      </c>
    </row>
    <row r="65" spans="1:12" ht="11.25">
      <c r="A65" s="1" t="s">
        <v>58</v>
      </c>
      <c r="B65" s="19"/>
      <c r="C65" s="11">
        <v>55</v>
      </c>
      <c r="D65" s="11">
        <v>55</v>
      </c>
      <c r="E65" s="11">
        <v>55</v>
      </c>
      <c r="F65" s="11">
        <v>55</v>
      </c>
      <c r="G65" s="12">
        <v>55</v>
      </c>
      <c r="H65" s="13">
        <v>55</v>
      </c>
      <c r="I65" s="13">
        <v>55</v>
      </c>
      <c r="J65" s="14">
        <v>55</v>
      </c>
      <c r="K65" s="12">
        <v>55</v>
      </c>
      <c r="L65" s="11">
        <v>51</v>
      </c>
    </row>
    <row r="66" spans="1:12" ht="11.25">
      <c r="A66" s="1" t="s">
        <v>59</v>
      </c>
      <c r="B66" s="19"/>
      <c r="C66" s="43">
        <f aca="true" t="shared" si="20" ref="C66:L66">C13/C64</f>
        <v>657.552536231884</v>
      </c>
      <c r="D66" s="43">
        <f t="shared" si="20"/>
        <v>660.2692480864475</v>
      </c>
      <c r="E66" s="43">
        <f t="shared" si="20"/>
        <v>654.7683310841205</v>
      </c>
      <c r="F66" s="43">
        <f t="shared" si="20"/>
        <v>654.2960969044415</v>
      </c>
      <c r="G66" s="44">
        <f t="shared" si="20"/>
        <v>639.3202497769848</v>
      </c>
      <c r="H66" s="45">
        <f t="shared" si="20"/>
        <v>660.9950517318938</v>
      </c>
      <c r="I66" s="45">
        <f t="shared" si="20"/>
        <v>654.7100725952813</v>
      </c>
      <c r="J66" s="46">
        <f t="shared" si="20"/>
        <v>677.4681046351537</v>
      </c>
      <c r="K66" s="44">
        <f t="shared" si="20"/>
        <v>678.329251059821</v>
      </c>
      <c r="L66" s="43">
        <f t="shared" si="20"/>
        <v>643.008034026465</v>
      </c>
    </row>
    <row r="67" spans="1:12" ht="11.25">
      <c r="A67" s="1" t="s">
        <v>60</v>
      </c>
      <c r="B67" s="19"/>
      <c r="C67" s="43">
        <f aca="true" t="shared" si="21" ref="C67:L67">C17/C64</f>
        <v>1290.1517210144928</v>
      </c>
      <c r="D67" s="43">
        <f t="shared" si="21"/>
        <v>1214.9423683025664</v>
      </c>
      <c r="E67" s="43">
        <f t="shared" si="21"/>
        <v>1361.264057579847</v>
      </c>
      <c r="F67" s="43">
        <f t="shared" si="21"/>
        <v>1349.4683714670255</v>
      </c>
      <c r="G67" s="44">
        <f t="shared" si="21"/>
        <v>1177.3925066904549</v>
      </c>
      <c r="H67" s="45">
        <f t="shared" si="21"/>
        <v>1177.2622582096267</v>
      </c>
      <c r="I67" s="45">
        <f t="shared" si="21"/>
        <v>1193.190108892922</v>
      </c>
      <c r="J67" s="46">
        <f t="shared" si="21"/>
        <v>1222.5920146856356</v>
      </c>
      <c r="K67" s="44">
        <f t="shared" si="21"/>
        <v>1306.8243052284504</v>
      </c>
      <c r="L67" s="43">
        <f t="shared" si="21"/>
        <v>1280.0723062381853</v>
      </c>
    </row>
    <row r="68" spans="1:12" ht="11.25">
      <c r="A68" s="4" t="s">
        <v>61</v>
      </c>
      <c r="B68" s="4"/>
      <c r="C68" s="47">
        <f aca="true" t="shared" si="22" ref="C68:L68">C40/C64</f>
        <v>33.94655797101449</v>
      </c>
      <c r="D68" s="47">
        <f t="shared" si="22"/>
        <v>25.868077442593428</v>
      </c>
      <c r="E68" s="47">
        <f t="shared" si="22"/>
        <v>18.574898785425102</v>
      </c>
      <c r="F68" s="47">
        <f t="shared" si="22"/>
        <v>11.798115746971737</v>
      </c>
      <c r="G68" s="48">
        <f t="shared" si="22"/>
        <v>52.29750223015165</v>
      </c>
      <c r="H68" s="47">
        <f t="shared" si="22"/>
        <v>38.66351776878093</v>
      </c>
      <c r="I68" s="47">
        <f t="shared" si="22"/>
        <v>25.486388384754992</v>
      </c>
      <c r="J68" s="49">
        <f t="shared" si="22"/>
        <v>13.189077558513079</v>
      </c>
      <c r="K68" s="48">
        <f t="shared" si="22"/>
        <v>49.60150730098917</v>
      </c>
      <c r="L68" s="47">
        <f t="shared" si="22"/>
        <v>33.465500945179585</v>
      </c>
    </row>
    <row r="69" spans="1:11" ht="15" customHeight="1">
      <c r="A69" s="6" t="s">
        <v>62</v>
      </c>
      <c r="B69" s="19"/>
      <c r="G69" s="18"/>
      <c r="H69" s="19"/>
      <c r="I69" s="19"/>
      <c r="J69" s="20"/>
      <c r="K69" s="18"/>
    </row>
    <row r="70" spans="1:12" ht="11.25">
      <c r="A70" s="1" t="s">
        <v>63</v>
      </c>
      <c r="B70" s="19"/>
      <c r="C70" s="28">
        <f>(C11-G11)/G11</f>
        <v>0.06943542632654573</v>
      </c>
      <c r="D70" s="28">
        <f>(D11-H11)/H11</f>
        <v>0.02644234493756503</v>
      </c>
      <c r="E70" s="28">
        <f>(E11-I11)/I11</f>
        <v>0.11262475759409861</v>
      </c>
      <c r="F70" s="28">
        <f>(F11-J11)/J11</f>
        <v>0.08230850262567868</v>
      </c>
      <c r="G70" s="29">
        <f>(G11-K11)/K11</f>
        <v>-0.05200782178510956</v>
      </c>
      <c r="H70" s="50">
        <f>+(H11/3462086)-1</f>
        <v>-0.030604092445999265</v>
      </c>
      <c r="I70" s="50">
        <f>+(I11/3649311)-1</f>
        <v>-0.0768577958962664</v>
      </c>
      <c r="J70" s="51">
        <f>+(J11/3528371)-1</f>
        <v>-0.025783569811677953</v>
      </c>
      <c r="K70" s="29">
        <f>(K11-L11)/L11</f>
        <v>0.014978386843448856</v>
      </c>
      <c r="L70" s="52">
        <f>+(L11/3369339)-1</f>
        <v>0.037048513076303635</v>
      </c>
    </row>
    <row r="71" spans="1:12" ht="11.25">
      <c r="A71" s="1" t="s">
        <v>64</v>
      </c>
      <c r="B71" s="19"/>
      <c r="C71" s="28">
        <f aca="true" t="shared" si="23" ref="C71:G73">(C13-G13)/G13</f>
        <v>0.012920725904799646</v>
      </c>
      <c r="D71" s="28">
        <f t="shared" si="23"/>
        <v>-0.0019967442316277755</v>
      </c>
      <c r="E71" s="28">
        <f t="shared" si="23"/>
        <v>0.008710440400809158</v>
      </c>
      <c r="F71" s="28">
        <f t="shared" si="23"/>
        <v>-0.012042381704955214</v>
      </c>
      <c r="G71" s="29">
        <f t="shared" si="23"/>
        <v>-0.004678170090403884</v>
      </c>
      <c r="H71" s="50">
        <f>H13/1436160-1</f>
        <v>0.023139483065953703</v>
      </c>
      <c r="I71" s="50">
        <f>I13/1392318-1</f>
        <v>0.03638752066697415</v>
      </c>
      <c r="J71" s="51">
        <f>J13/1401745-1</f>
        <v>0.05311807782442601</v>
      </c>
      <c r="K71" s="29">
        <f>(K13-L13)/L13</f>
        <v>0.058421070038696024</v>
      </c>
      <c r="L71" s="52">
        <f>L13/1328903-1</f>
        <v>0.023855766748965168</v>
      </c>
    </row>
    <row r="72" spans="2:12" ht="11.25">
      <c r="B72" s="19" t="s">
        <v>15</v>
      </c>
      <c r="C72" s="28">
        <f t="shared" si="23"/>
        <v>0.012938393155523741</v>
      </c>
      <c r="D72" s="28">
        <f t="shared" si="23"/>
        <v>-0.0019797640752786745</v>
      </c>
      <c r="E72" s="28">
        <f t="shared" si="23"/>
        <v>0.008727916859557741</v>
      </c>
      <c r="F72" s="28">
        <f t="shared" si="23"/>
        <v>-0.012042585650240011</v>
      </c>
      <c r="G72" s="29">
        <f t="shared" si="23"/>
        <v>-0.0012103956049469432</v>
      </c>
      <c r="H72" s="50">
        <f>H14/1431135-1</f>
        <v>0.026714460899915027</v>
      </c>
      <c r="I72" s="50">
        <f>(I14/1387293)-1</f>
        <v>0.040123463464459164</v>
      </c>
      <c r="J72" s="51">
        <f>(J14/1396720)-1</f>
        <v>0.05688899707887041</v>
      </c>
      <c r="K72" s="29">
        <f>(K14-L14)/L14</f>
        <v>0.05474724014758412</v>
      </c>
      <c r="L72" s="52">
        <f>+(L14/1328878)-1</f>
        <v>0.023856215544241</v>
      </c>
    </row>
    <row r="73" spans="2:12" ht="11.25">
      <c r="B73" s="19" t="s">
        <v>16</v>
      </c>
      <c r="C73" s="30">
        <f t="shared" si="23"/>
        <v>-1</v>
      </c>
      <c r="D73" s="30">
        <f t="shared" si="23"/>
        <v>-1</v>
      </c>
      <c r="E73" s="30">
        <f t="shared" si="23"/>
        <v>-1</v>
      </c>
      <c r="F73" s="31">
        <f t="shared" si="23"/>
        <v>0</v>
      </c>
      <c r="G73" s="29">
        <f t="shared" si="23"/>
        <v>-0.9950248756218906</v>
      </c>
      <c r="H73" s="50">
        <f>+(H15/5025)-1</f>
        <v>-0.9950248756218906</v>
      </c>
      <c r="I73" s="50">
        <f>+(I15/5025)-1</f>
        <v>-0.9950248756218906</v>
      </c>
      <c r="J73" s="51">
        <f>+(J15/5025)-1</f>
        <v>-0.9950248756218906</v>
      </c>
      <c r="K73" s="29">
        <f>(K15-L15)/L15</f>
        <v>200</v>
      </c>
      <c r="L73" s="52">
        <f>+(L15/25)-1</f>
        <v>0</v>
      </c>
    </row>
    <row r="74" spans="1:12" ht="11.25">
      <c r="A74" s="1" t="s">
        <v>65</v>
      </c>
      <c r="B74" s="19"/>
      <c r="C74" s="28">
        <f aca="true" t="shared" si="24" ref="C74:G75">(C17-G17)/G17</f>
        <v>0.07915289307856836</v>
      </c>
      <c r="D74" s="28">
        <f t="shared" si="24"/>
        <v>0.031078074812365353</v>
      </c>
      <c r="E74" s="28">
        <f t="shared" si="24"/>
        <v>0.1506960058803152</v>
      </c>
      <c r="F74" s="28">
        <f t="shared" si="24"/>
        <v>0.12910412353023318</v>
      </c>
      <c r="G74" s="29">
        <f t="shared" si="24"/>
        <v>-0.04854187662288043</v>
      </c>
      <c r="H74" s="53">
        <f>H17/2668750-1</f>
        <v>-0.019370866510538653</v>
      </c>
      <c r="I74" s="50">
        <f>I17/2861448-1</f>
        <v>-0.08095796254204168</v>
      </c>
      <c r="J74" s="51">
        <f>J17/2722567-1</f>
        <v>-0.021501399230946405</v>
      </c>
      <c r="K74" s="29">
        <f>(K17-L17)/L17</f>
        <v>0.02427608317553541</v>
      </c>
      <c r="L74" s="52">
        <f>L17/2636770-1</f>
        <v>0.02725417840767297</v>
      </c>
    </row>
    <row r="75" spans="2:12" ht="11.25">
      <c r="B75" s="19" t="s">
        <v>15</v>
      </c>
      <c r="C75" s="28">
        <f t="shared" si="24"/>
        <v>0.07899646931538601</v>
      </c>
      <c r="D75" s="28">
        <f t="shared" si="24"/>
        <v>0.032239935433906367</v>
      </c>
      <c r="E75" s="28">
        <f t="shared" si="24"/>
        <v>0.15320026700259473</v>
      </c>
      <c r="F75" s="28">
        <f t="shared" si="24"/>
        <v>0.1309551496570816</v>
      </c>
      <c r="G75" s="29">
        <f t="shared" si="24"/>
        <v>-0.047024112888105145</v>
      </c>
      <c r="H75" s="50">
        <f>(H18/2621195)-1</f>
        <v>-0.017728173600209063</v>
      </c>
      <c r="I75" s="50">
        <f>(I18/2814100)-1</f>
        <v>-0.07955047795032155</v>
      </c>
      <c r="J75" s="51">
        <f>(J18/2676317)-1</f>
        <v>-0.021583392400825407</v>
      </c>
      <c r="K75" s="29">
        <f>(K18-L18)/L18</f>
        <v>0.02437129493623118</v>
      </c>
      <c r="L75" s="52">
        <f>(L18/2589694)-1</f>
        <v>0.027359989249695182</v>
      </c>
    </row>
    <row r="76" spans="2:12" ht="11.25">
      <c r="B76" s="19" t="s">
        <v>16</v>
      </c>
      <c r="C76" s="28">
        <f>(C22-G22)/G22</f>
        <v>0.08871575181244704</v>
      </c>
      <c r="D76" s="28">
        <f>(D22-H22)/H22</f>
        <v>-0.039595539595539596</v>
      </c>
      <c r="E76" s="28">
        <f>(E22-I22)/I22</f>
        <v>-0.013298275774890024</v>
      </c>
      <c r="F76" s="28">
        <f>(F22-J22)/J22</f>
        <v>0.02251786695986806</v>
      </c>
      <c r="G76" s="29">
        <f>(G22-K22)/K22</f>
        <v>-0.13296189718157514</v>
      </c>
      <c r="H76" s="50">
        <f>(H22/47555)-1</f>
        <v>-0.10991483545368519</v>
      </c>
      <c r="I76" s="50">
        <f>(I22/47348)-1</f>
        <v>-0.16461096561628796</v>
      </c>
      <c r="J76" s="51">
        <f>(J22/49250)-1</f>
        <v>-0.07664974619289344</v>
      </c>
      <c r="K76" s="29">
        <f>(K22-L22)/L22</f>
        <v>0.01900800665488198</v>
      </c>
      <c r="L76" s="52">
        <f>(L22/47076)-1</f>
        <v>0.021433426799218225</v>
      </c>
    </row>
    <row r="77" spans="1:12" ht="11.25">
      <c r="A77" s="1" t="s">
        <v>66</v>
      </c>
      <c r="B77" s="19"/>
      <c r="C77" s="28">
        <f>C25/G25-1</f>
        <v>0</v>
      </c>
      <c r="D77" s="28">
        <f>D25/H25-1</f>
        <v>-0.0063440264835126214</v>
      </c>
      <c r="E77" s="28">
        <f>E25/I25-1</f>
        <v>0</v>
      </c>
      <c r="F77" s="28">
        <f>F25/J25-1</f>
        <v>-0.02028211956085124</v>
      </c>
      <c r="G77" s="29">
        <f>G25/K25-1</f>
        <v>0</v>
      </c>
      <c r="H77" s="50">
        <f>(H25-508787)/I25</f>
        <v>0.001022</v>
      </c>
      <c r="I77" s="50">
        <f>(I25-500000)/500000</f>
        <v>0</v>
      </c>
      <c r="J77" s="51">
        <f>(J25-532572)/532572</f>
        <v>-0.04172393591852369</v>
      </c>
      <c r="K77" s="29">
        <f>(K25-L25)/L25</f>
        <v>-0.013493436771834844</v>
      </c>
      <c r="L77" s="52">
        <f>L25/436025-1</f>
        <v>0.16240811880052752</v>
      </c>
    </row>
    <row r="78" spans="1:12" ht="11.25">
      <c r="A78" s="4" t="s">
        <v>67</v>
      </c>
      <c r="B78" s="4"/>
      <c r="C78" s="32">
        <f>(C40-G40)/G40</f>
        <v>-0.3607389275997646</v>
      </c>
      <c r="D78" s="32">
        <f>(D40-H40)/H40</f>
        <v>-0.33154545137232544</v>
      </c>
      <c r="E78" s="32">
        <f>(E40-I40)/I40</f>
        <v>-0.26490066225165565</v>
      </c>
      <c r="F78" s="32">
        <f>(F40-J40)/J40</f>
        <v>-0.08493684540171892</v>
      </c>
      <c r="G78" s="33">
        <f>(G40-K40)/K40</f>
        <v>0.11345248043759021</v>
      </c>
      <c r="H78" s="54">
        <f>H40/79699-1</f>
        <v>0.07842005545866315</v>
      </c>
      <c r="I78" s="55">
        <f>I40/54532-1</f>
        <v>0.030074084940952206</v>
      </c>
      <c r="J78" s="56">
        <f>J40/25734-1</f>
        <v>0.11677158622833606</v>
      </c>
      <c r="K78" s="33">
        <f>(K40-L40)/L40</f>
        <v>0.48707158290144464</v>
      </c>
      <c r="L78" s="55">
        <f>(L40/49267)-1</f>
        <v>0.43733127651369075</v>
      </c>
    </row>
  </sheetData>
  <sheetProtection password="CD66" sheet="1" objects="1" scenarios="1"/>
  <mergeCells count="3">
    <mergeCell ref="G8:J8"/>
    <mergeCell ref="K8:L8"/>
    <mergeCell ref="C8:F8"/>
  </mergeCells>
  <printOptions horizontalCentered="1" verticalCentered="1"/>
  <pageMargins left="0.75" right="0.75" top="1" bottom="1" header="0" footer="0"/>
  <pageSetup horizontalDpi="300" verticalDpi="300" orientation="landscape" r:id="rId3"/>
  <legacyDrawing r:id="rId2"/>
  <oleObjects>
    <oleObject progId="MSPhotoEd.3" shapeId="54112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2002-03-22T20:29:05Z</cp:lastPrinted>
  <dcterms:created xsi:type="dcterms:W3CDTF">2002-03-19T14:59:31Z</dcterms:created>
  <dcterms:modified xsi:type="dcterms:W3CDTF">2002-07-12T14:42:27Z</dcterms:modified>
  <cp:category/>
  <cp:version/>
  <cp:contentType/>
  <cp:contentStatus/>
</cp:coreProperties>
</file>