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Multicredit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<sst xmlns="http://schemas.openxmlformats.org/spreadsheetml/2006/main" count="84" uniqueCount="68">
  <si>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18-17</t>
  </si>
  <si>
    <t>MULTICREDIT BANK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</si>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</sst>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8" xfId="19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5" sqref="G35"/>
    </sheetView>
  </sheetViews>
  <sheetFormatPr defaultColWidth="11.421875" defaultRowHeight="12.75"/>
  <cols>
    <col min="1" max="1" width="2.421875" style="1" customWidth="1"/>
    <col min="2" max="2" width="40.421875" style="1" customWidth="1"/>
    <col min="3" max="3" width="8.421875" style="1" customWidth="1"/>
    <col min="4" max="4" width="10.8515625" style="1" customWidth="1"/>
    <col min="5" max="5" width="8.421875" style="1" customWidth="1"/>
    <col min="6" max="6" width="8.140625" style="1" customWidth="1"/>
    <col min="7" max="7" width="9.00390625" style="1" customWidth="1"/>
    <col min="8" max="8" width="10.140625" style="1" customWidth="1"/>
    <col min="9" max="9" width="8.00390625" style="1" customWidth="1"/>
    <col min="10" max="11" width="8.140625" style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2"/>
      <c r="C2" s="42"/>
      <c r="D2" s="42"/>
      <c r="E2" s="42"/>
      <c r="F2" s="42" t="s">
        <v>0</v>
      </c>
      <c r="H2" s="42"/>
      <c r="I2" s="42"/>
      <c r="J2" s="42"/>
      <c r="K2" s="42"/>
      <c r="L2" s="42"/>
    </row>
    <row r="3" spans="2:12" ht="11.25">
      <c r="B3" s="42"/>
      <c r="C3" s="42"/>
      <c r="D3" s="42"/>
      <c r="E3" s="42"/>
      <c r="F3" s="42" t="s">
        <v>1</v>
      </c>
      <c r="H3" s="42"/>
      <c r="I3" s="42"/>
      <c r="J3" s="42"/>
      <c r="K3" s="42"/>
      <c r="L3" s="42"/>
    </row>
    <row r="4" spans="2:12" ht="11.25">
      <c r="B4" s="42"/>
      <c r="C4" s="42"/>
      <c r="D4" s="42"/>
      <c r="E4" s="42"/>
      <c r="F4" s="42" t="s">
        <v>2</v>
      </c>
      <c r="H4" s="42"/>
      <c r="I4" s="42"/>
      <c r="J4" s="42"/>
      <c r="K4" s="42"/>
      <c r="L4" s="42"/>
    </row>
    <row r="5" spans="2:12" ht="11.25">
      <c r="B5" s="41"/>
      <c r="C5" s="41"/>
      <c r="D5" s="41"/>
      <c r="E5" s="41"/>
      <c r="F5" s="41" t="s">
        <v>3</v>
      </c>
      <c r="H5" s="41"/>
      <c r="I5" s="41"/>
      <c r="J5" s="41"/>
      <c r="K5" s="41"/>
      <c r="L5" s="41"/>
    </row>
    <row r="6" spans="1:12" ht="11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1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1.25">
      <c r="A8" s="3"/>
      <c r="B8" s="3"/>
      <c r="C8" s="49">
        <v>2001</v>
      </c>
      <c r="D8" s="49"/>
      <c r="E8" s="49"/>
      <c r="F8" s="50"/>
      <c r="G8" s="48">
        <v>2000</v>
      </c>
      <c r="H8" s="49"/>
      <c r="I8" s="49"/>
      <c r="J8" s="50"/>
      <c r="K8" s="48" t="s">
        <v>4</v>
      </c>
      <c r="L8" s="50"/>
    </row>
    <row r="9" spans="1:12" s="4" customFormat="1" ht="11.25">
      <c r="A9" s="43"/>
      <c r="B9" s="43"/>
      <c r="C9" s="43" t="s">
        <v>5</v>
      </c>
      <c r="D9" s="43" t="s">
        <v>6</v>
      </c>
      <c r="E9" s="43" t="s">
        <v>7</v>
      </c>
      <c r="F9" s="43" t="s">
        <v>8</v>
      </c>
      <c r="G9" s="44" t="s">
        <v>5</v>
      </c>
      <c r="H9" s="43" t="s">
        <v>6</v>
      </c>
      <c r="I9" s="43" t="s">
        <v>7</v>
      </c>
      <c r="J9" s="45" t="s">
        <v>8</v>
      </c>
      <c r="K9" s="46" t="s">
        <v>9</v>
      </c>
      <c r="L9" s="47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7"/>
    </row>
    <row r="11" spans="1:12" ht="11.25">
      <c r="A11" s="1" t="s">
        <v>12</v>
      </c>
      <c r="C11" s="8">
        <v>416101</v>
      </c>
      <c r="D11" s="8">
        <v>392165</v>
      </c>
      <c r="E11" s="8">
        <v>388684</v>
      </c>
      <c r="F11" s="8">
        <v>485493</v>
      </c>
      <c r="G11" s="9">
        <v>505699</v>
      </c>
      <c r="H11" s="10">
        <v>464484</v>
      </c>
      <c r="I11" s="10">
        <v>434384</v>
      </c>
      <c r="J11" s="11">
        <v>410109</v>
      </c>
      <c r="K11" s="9">
        <v>438369</v>
      </c>
      <c r="L11" s="11">
        <v>355373</v>
      </c>
    </row>
    <row r="12" spans="1:12" ht="11.25">
      <c r="A12" s="1" t="s">
        <v>13</v>
      </c>
      <c r="C12" s="8">
        <v>39607</v>
      </c>
      <c r="D12" s="8">
        <v>23542</v>
      </c>
      <c r="E12" s="8">
        <v>22230</v>
      </c>
      <c r="F12" s="8">
        <v>113462</v>
      </c>
      <c r="G12" s="9">
        <v>148854</v>
      </c>
      <c r="H12" s="10">
        <v>113913</v>
      </c>
      <c r="I12" s="10">
        <v>117781</v>
      </c>
      <c r="J12" s="11">
        <v>108859</v>
      </c>
      <c r="K12" s="9">
        <v>147304</v>
      </c>
      <c r="L12" s="11">
        <v>114750</v>
      </c>
    </row>
    <row r="13" spans="1:12" ht="11.25">
      <c r="A13" s="1" t="s">
        <v>14</v>
      </c>
      <c r="C13" s="8">
        <f aca="true" t="shared" si="0" ref="C13:L13">C14+C15</f>
        <v>287217</v>
      </c>
      <c r="D13" s="8">
        <f t="shared" si="0"/>
        <v>285851</v>
      </c>
      <c r="E13" s="8">
        <f t="shared" si="0"/>
        <v>283350</v>
      </c>
      <c r="F13" s="8">
        <f t="shared" si="0"/>
        <v>282020</v>
      </c>
      <c r="G13" s="9">
        <f t="shared" si="0"/>
        <v>282247</v>
      </c>
      <c r="H13" s="10">
        <f t="shared" si="0"/>
        <v>284111</v>
      </c>
      <c r="I13" s="10">
        <f t="shared" si="0"/>
        <v>251334</v>
      </c>
      <c r="J13" s="11">
        <f t="shared" si="0"/>
        <v>232734</v>
      </c>
      <c r="K13" s="9">
        <f t="shared" si="0"/>
        <v>227641</v>
      </c>
      <c r="L13" s="11">
        <f t="shared" si="0"/>
        <v>182782</v>
      </c>
    </row>
    <row r="14" spans="2:12" ht="11.25">
      <c r="B14" s="1" t="s">
        <v>15</v>
      </c>
      <c r="C14" s="8">
        <v>286991</v>
      </c>
      <c r="D14" s="8">
        <v>283998</v>
      </c>
      <c r="E14" s="8">
        <v>282514</v>
      </c>
      <c r="F14" s="8">
        <v>273089</v>
      </c>
      <c r="G14" s="9">
        <v>269317</v>
      </c>
      <c r="H14" s="10">
        <v>272451</v>
      </c>
      <c r="I14" s="10">
        <v>233111</v>
      </c>
      <c r="J14" s="11">
        <v>214773</v>
      </c>
      <c r="K14" s="9">
        <v>213435</v>
      </c>
      <c r="L14" s="11">
        <v>168419</v>
      </c>
    </row>
    <row r="15" spans="2:12" ht="11.25">
      <c r="B15" s="1" t="s">
        <v>16</v>
      </c>
      <c r="C15" s="8">
        <v>226</v>
      </c>
      <c r="D15" s="8">
        <v>1853</v>
      </c>
      <c r="E15" s="8">
        <v>836</v>
      </c>
      <c r="F15" s="8">
        <v>8931</v>
      </c>
      <c r="G15" s="9">
        <v>12930</v>
      </c>
      <c r="H15" s="10">
        <v>11660</v>
      </c>
      <c r="I15" s="10">
        <v>18223</v>
      </c>
      <c r="J15" s="11">
        <v>17961</v>
      </c>
      <c r="K15" s="9">
        <v>14206</v>
      </c>
      <c r="L15" s="11">
        <v>14363</v>
      </c>
    </row>
    <row r="16" spans="1:12" ht="11.25">
      <c r="A16" s="1" t="s">
        <v>17</v>
      </c>
      <c r="C16" s="8">
        <v>63716</v>
      </c>
      <c r="D16" s="8">
        <v>57534</v>
      </c>
      <c r="E16" s="8">
        <v>60409</v>
      </c>
      <c r="F16" s="8">
        <v>62502</v>
      </c>
      <c r="G16" s="9">
        <v>53977</v>
      </c>
      <c r="H16" s="10">
        <v>47523</v>
      </c>
      <c r="I16" s="10">
        <v>49135</v>
      </c>
      <c r="J16" s="11">
        <v>47082</v>
      </c>
      <c r="K16" s="9">
        <v>45923</v>
      </c>
      <c r="L16" s="11">
        <v>46592</v>
      </c>
    </row>
    <row r="17" spans="1:12" ht="11.25">
      <c r="A17" s="1" t="s">
        <v>18</v>
      </c>
      <c r="C17" s="8">
        <f aca="true" t="shared" si="1" ref="C17:L17">C18+C22</f>
        <v>320365</v>
      </c>
      <c r="D17" s="8">
        <f t="shared" si="1"/>
        <v>300510</v>
      </c>
      <c r="E17" s="8">
        <f t="shared" si="1"/>
        <v>291406</v>
      </c>
      <c r="F17" s="8">
        <f t="shared" si="1"/>
        <v>379072</v>
      </c>
      <c r="G17" s="9">
        <f t="shared" si="1"/>
        <v>398762</v>
      </c>
      <c r="H17" s="10">
        <f t="shared" si="1"/>
        <v>370550</v>
      </c>
      <c r="I17" s="10">
        <f t="shared" si="1"/>
        <v>343452</v>
      </c>
      <c r="J17" s="11">
        <f t="shared" si="1"/>
        <v>331040</v>
      </c>
      <c r="K17" s="9">
        <f t="shared" si="1"/>
        <v>357877</v>
      </c>
      <c r="L17" s="11">
        <f t="shared" si="1"/>
        <v>281184</v>
      </c>
    </row>
    <row r="18" spans="2:12" ht="11.25">
      <c r="B18" s="1" t="s">
        <v>15</v>
      </c>
      <c r="C18" s="8">
        <f aca="true" t="shared" si="2" ref="C18:L18">SUM(C19:C21)</f>
        <v>212226</v>
      </c>
      <c r="D18" s="8">
        <f t="shared" si="2"/>
        <v>194202</v>
      </c>
      <c r="E18" s="8">
        <f t="shared" si="2"/>
        <v>194645</v>
      </c>
      <c r="F18" s="8">
        <f t="shared" si="2"/>
        <v>175378</v>
      </c>
      <c r="G18" s="9">
        <f t="shared" si="2"/>
        <v>198023</v>
      </c>
      <c r="H18" s="10">
        <f t="shared" si="2"/>
        <v>182527</v>
      </c>
      <c r="I18" s="10">
        <f t="shared" si="2"/>
        <v>182771</v>
      </c>
      <c r="J18" s="11">
        <f t="shared" si="2"/>
        <v>170460</v>
      </c>
      <c r="K18" s="9">
        <f t="shared" si="2"/>
        <v>199615</v>
      </c>
      <c r="L18" s="11">
        <f t="shared" si="2"/>
        <v>142198</v>
      </c>
    </row>
    <row r="19" spans="2:12" ht="11.25">
      <c r="B19" s="1" t="s">
        <v>19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10">
        <v>0</v>
      </c>
      <c r="I19" s="10">
        <v>0</v>
      </c>
      <c r="J19" s="11">
        <v>0</v>
      </c>
      <c r="K19" s="9">
        <v>0</v>
      </c>
      <c r="L19" s="11">
        <v>0</v>
      </c>
    </row>
    <row r="20" spans="2:12" ht="11.25">
      <c r="B20" s="1" t="s">
        <v>20</v>
      </c>
      <c r="C20" s="8">
        <v>195122</v>
      </c>
      <c r="D20" s="8">
        <v>178728</v>
      </c>
      <c r="E20" s="8">
        <v>163288</v>
      </c>
      <c r="F20" s="8">
        <v>147767</v>
      </c>
      <c r="G20" s="9">
        <v>147951</v>
      </c>
      <c r="H20" s="10">
        <v>144417</v>
      </c>
      <c r="I20" s="10">
        <v>145138</v>
      </c>
      <c r="J20" s="11">
        <v>138424</v>
      </c>
      <c r="K20" s="9">
        <v>144370</v>
      </c>
      <c r="L20" s="11">
        <v>124198</v>
      </c>
    </row>
    <row r="21" spans="2:12" ht="11.25">
      <c r="B21" s="1" t="s">
        <v>21</v>
      </c>
      <c r="C21" s="8">
        <v>17104</v>
      </c>
      <c r="D21" s="8">
        <v>15474</v>
      </c>
      <c r="E21" s="8">
        <v>31357</v>
      </c>
      <c r="F21" s="8">
        <v>27611</v>
      </c>
      <c r="G21" s="9">
        <v>50072</v>
      </c>
      <c r="H21" s="10">
        <v>38110</v>
      </c>
      <c r="I21" s="10">
        <v>37633</v>
      </c>
      <c r="J21" s="11">
        <v>32036</v>
      </c>
      <c r="K21" s="9">
        <v>55245</v>
      </c>
      <c r="L21" s="11">
        <v>18000</v>
      </c>
    </row>
    <row r="22" spans="2:12" ht="11.25">
      <c r="B22" s="1" t="s">
        <v>16</v>
      </c>
      <c r="C22" s="8">
        <f aca="true" t="shared" si="3" ref="C22:L22">SUM(C23:C24)</f>
        <v>108139</v>
      </c>
      <c r="D22" s="8">
        <f t="shared" si="3"/>
        <v>106308</v>
      </c>
      <c r="E22" s="8">
        <f t="shared" si="3"/>
        <v>96761</v>
      </c>
      <c r="F22" s="8">
        <f t="shared" si="3"/>
        <v>203694</v>
      </c>
      <c r="G22" s="9">
        <f t="shared" si="3"/>
        <v>200739</v>
      </c>
      <c r="H22" s="10">
        <f t="shared" si="3"/>
        <v>188023</v>
      </c>
      <c r="I22" s="10">
        <f t="shared" si="3"/>
        <v>160681</v>
      </c>
      <c r="J22" s="11">
        <f t="shared" si="3"/>
        <v>160580</v>
      </c>
      <c r="K22" s="9">
        <f t="shared" si="3"/>
        <v>158262</v>
      </c>
      <c r="L22" s="11">
        <f t="shared" si="3"/>
        <v>138986</v>
      </c>
    </row>
    <row r="23" spans="2:12" ht="11.25">
      <c r="B23" s="1" t="s">
        <v>20</v>
      </c>
      <c r="C23" s="8">
        <v>28265</v>
      </c>
      <c r="D23" s="8">
        <v>27541</v>
      </c>
      <c r="E23" s="8">
        <v>27666</v>
      </c>
      <c r="F23" s="8">
        <v>29570</v>
      </c>
      <c r="G23" s="9">
        <v>28735</v>
      </c>
      <c r="H23" s="10">
        <v>31351</v>
      </c>
      <c r="I23" s="10">
        <v>26158</v>
      </c>
      <c r="J23" s="11">
        <v>28077</v>
      </c>
      <c r="K23" s="9">
        <v>23187</v>
      </c>
      <c r="L23" s="11">
        <v>22299</v>
      </c>
    </row>
    <row r="24" spans="2:12" ht="11.25">
      <c r="B24" s="1" t="s">
        <v>21</v>
      </c>
      <c r="C24" s="8">
        <v>79874</v>
      </c>
      <c r="D24" s="8">
        <v>78767</v>
      </c>
      <c r="E24" s="8">
        <v>69095</v>
      </c>
      <c r="F24" s="8">
        <v>174124</v>
      </c>
      <c r="G24" s="9">
        <v>172004</v>
      </c>
      <c r="H24" s="10">
        <v>156672</v>
      </c>
      <c r="I24" s="10">
        <v>134523</v>
      </c>
      <c r="J24" s="11">
        <v>132503</v>
      </c>
      <c r="K24" s="9">
        <v>135075</v>
      </c>
      <c r="L24" s="11">
        <v>116687</v>
      </c>
    </row>
    <row r="25" spans="1:12" ht="11.25">
      <c r="A25" s="2" t="s">
        <v>22</v>
      </c>
      <c r="B25" s="2"/>
      <c r="C25" s="12">
        <v>42240</v>
      </c>
      <c r="D25" s="12">
        <v>42311</v>
      </c>
      <c r="E25" s="12">
        <v>41101</v>
      </c>
      <c r="F25" s="12">
        <v>42705</v>
      </c>
      <c r="G25" s="13">
        <v>38154</v>
      </c>
      <c r="H25" s="12">
        <v>36884</v>
      </c>
      <c r="I25" s="12">
        <v>35640</v>
      </c>
      <c r="J25" s="14">
        <v>35620</v>
      </c>
      <c r="K25" s="13">
        <v>30667</v>
      </c>
      <c r="L25" s="14">
        <v>31966</v>
      </c>
    </row>
    <row r="26" spans="1:12" ht="11.25">
      <c r="A26" s="4" t="s">
        <v>23</v>
      </c>
      <c r="C26" s="8"/>
      <c r="D26" s="8"/>
      <c r="E26" s="8"/>
      <c r="F26" s="8"/>
      <c r="G26" s="9"/>
      <c r="H26" s="10"/>
      <c r="I26" s="10"/>
      <c r="J26" s="11"/>
      <c r="K26" s="9"/>
      <c r="L26" s="11"/>
    </row>
    <row r="27" spans="1:12" ht="11.25">
      <c r="A27" s="1" t="s">
        <v>12</v>
      </c>
      <c r="C27" s="8">
        <f>(C11+G11)/2</f>
        <v>460900</v>
      </c>
      <c r="D27" s="8">
        <f>(D11+H11)/2</f>
        <v>428324.5</v>
      </c>
      <c r="E27" s="8">
        <f>(E11+I11)/2</f>
        <v>411534</v>
      </c>
      <c r="F27" s="8">
        <f>+(F11+J11)/2</f>
        <v>447801</v>
      </c>
      <c r="G27" s="9">
        <f>+(G11+K11)/2</f>
        <v>472034</v>
      </c>
      <c r="H27" s="10">
        <v>428791</v>
      </c>
      <c r="I27" s="10">
        <v>406699</v>
      </c>
      <c r="J27" s="11">
        <v>382846</v>
      </c>
      <c r="K27" s="9">
        <f>(K11+L11)/2</f>
        <v>396871</v>
      </c>
      <c r="L27" s="11">
        <v>335694</v>
      </c>
    </row>
    <row r="28" spans="1:12" ht="11.25">
      <c r="A28" s="1" t="s">
        <v>24</v>
      </c>
      <c r="C28" s="8">
        <f aca="true" t="shared" si="4" ref="C28:L28">C29+C30</f>
        <v>343578.5</v>
      </c>
      <c r="D28" s="8">
        <f t="shared" si="4"/>
        <v>337509.5</v>
      </c>
      <c r="E28" s="8">
        <f t="shared" si="4"/>
        <v>322114</v>
      </c>
      <c r="F28" s="8">
        <f t="shared" si="4"/>
        <v>312169</v>
      </c>
      <c r="G28" s="9">
        <f t="shared" si="4"/>
        <v>304894</v>
      </c>
      <c r="H28" s="10">
        <f t="shared" si="4"/>
        <v>296163</v>
      </c>
      <c r="I28" s="10">
        <f t="shared" si="4"/>
        <v>278921</v>
      </c>
      <c r="J28" s="11">
        <f t="shared" si="4"/>
        <v>261027</v>
      </c>
      <c r="K28" s="9">
        <f t="shared" si="4"/>
        <v>251469</v>
      </c>
      <c r="L28" s="11">
        <f t="shared" si="4"/>
        <v>208957</v>
      </c>
    </row>
    <row r="29" spans="2:12" ht="11.25">
      <c r="B29" s="1" t="s">
        <v>14</v>
      </c>
      <c r="C29" s="8">
        <f>(C13+G13)/2</f>
        <v>284732</v>
      </c>
      <c r="D29" s="8">
        <f>(D13+H13)/2</f>
        <v>284981</v>
      </c>
      <c r="E29" s="8">
        <f>(E13+I13)/2</f>
        <v>267342</v>
      </c>
      <c r="F29" s="8">
        <f>+(F13+J13)/2</f>
        <v>257377</v>
      </c>
      <c r="G29" s="9">
        <f>+(G13+K13)/2</f>
        <v>254944</v>
      </c>
      <c r="H29" s="10">
        <v>248765</v>
      </c>
      <c r="I29" s="10">
        <v>231163</v>
      </c>
      <c r="J29" s="11">
        <v>213841</v>
      </c>
      <c r="K29" s="9">
        <f>(K13+L13)/2</f>
        <v>205211.5</v>
      </c>
      <c r="L29" s="11">
        <v>162482</v>
      </c>
    </row>
    <row r="30" spans="2:12" ht="11.25">
      <c r="B30" s="1" t="s">
        <v>17</v>
      </c>
      <c r="C30" s="8">
        <f>(C16+G16)/2</f>
        <v>58846.5</v>
      </c>
      <c r="D30" s="8">
        <f>(D16+H16)/2</f>
        <v>52528.5</v>
      </c>
      <c r="E30" s="8">
        <f>(E16+I16)/2</f>
        <v>54772</v>
      </c>
      <c r="F30" s="8">
        <f>+(F16+J16)/2</f>
        <v>54792</v>
      </c>
      <c r="G30" s="9">
        <f>+(G16+K16)/2</f>
        <v>49950</v>
      </c>
      <c r="H30" s="10">
        <v>47398</v>
      </c>
      <c r="I30" s="10">
        <v>47758</v>
      </c>
      <c r="J30" s="11">
        <v>47186</v>
      </c>
      <c r="K30" s="9">
        <f>(K16+L16)/2</f>
        <v>46257.5</v>
      </c>
      <c r="L30" s="11">
        <v>46475</v>
      </c>
    </row>
    <row r="31" spans="1:12" ht="11.25">
      <c r="A31" s="2" t="s">
        <v>22</v>
      </c>
      <c r="B31" s="2"/>
      <c r="C31" s="12">
        <f>(C25+G25)/2</f>
        <v>40197</v>
      </c>
      <c r="D31" s="12">
        <f>(D25+H25)/2</f>
        <v>39597.5</v>
      </c>
      <c r="E31" s="12">
        <f>(E25+I25)/2</f>
        <v>38370.5</v>
      </c>
      <c r="F31" s="12">
        <f>+(F25+J25)/2</f>
        <v>39162.5</v>
      </c>
      <c r="G31" s="13">
        <f>+(G25+K25)/2</f>
        <v>34410.5</v>
      </c>
      <c r="H31" s="12">
        <v>34737</v>
      </c>
      <c r="I31" s="12">
        <v>33887</v>
      </c>
      <c r="J31" s="14">
        <v>33384</v>
      </c>
      <c r="K31" s="13">
        <f>(K25+L25)/2</f>
        <v>31316.5</v>
      </c>
      <c r="L31" s="14">
        <v>30077</v>
      </c>
    </row>
    <row r="32" spans="1:12" ht="11.25">
      <c r="A32" s="4" t="s">
        <v>25</v>
      </c>
      <c r="C32" s="8"/>
      <c r="D32" s="8"/>
      <c r="E32" s="8"/>
      <c r="F32" s="8"/>
      <c r="G32" s="15"/>
      <c r="H32" s="16"/>
      <c r="I32" s="16"/>
      <c r="J32" s="17"/>
      <c r="K32" s="15"/>
      <c r="L32" s="17"/>
    </row>
    <row r="33" spans="1:12" ht="11.25">
      <c r="A33" s="1" t="s">
        <v>26</v>
      </c>
      <c r="C33" s="8">
        <v>42357</v>
      </c>
      <c r="D33" s="8">
        <v>32037</v>
      </c>
      <c r="E33" s="8">
        <v>22632</v>
      </c>
      <c r="F33" s="8">
        <v>10678</v>
      </c>
      <c r="G33" s="9">
        <v>42660</v>
      </c>
      <c r="H33" s="10">
        <v>30504</v>
      </c>
      <c r="I33" s="10">
        <v>18352</v>
      </c>
      <c r="J33" s="11">
        <v>9019</v>
      </c>
      <c r="K33" s="9">
        <v>33925</v>
      </c>
      <c r="L33" s="11">
        <v>31049</v>
      </c>
    </row>
    <row r="34" spans="1:12" ht="11.25">
      <c r="A34" s="1" t="s">
        <v>27</v>
      </c>
      <c r="C34" s="8">
        <v>29181</v>
      </c>
      <c r="D34" s="8">
        <v>22370</v>
      </c>
      <c r="E34" s="8">
        <v>15353</v>
      </c>
      <c r="F34" s="8">
        <v>7625</v>
      </c>
      <c r="G34" s="9">
        <v>28973</v>
      </c>
      <c r="H34" s="10">
        <v>20703</v>
      </c>
      <c r="I34" s="10">
        <v>13412</v>
      </c>
      <c r="J34" s="11">
        <v>6611</v>
      </c>
      <c r="K34" s="9">
        <v>23817</v>
      </c>
      <c r="L34" s="11">
        <v>21869</v>
      </c>
    </row>
    <row r="35" spans="1:12" ht="11.25">
      <c r="A35" s="1" t="s">
        <v>28</v>
      </c>
      <c r="C35" s="8">
        <f aca="true" t="shared" si="5" ref="C35:L35">C33-C34</f>
        <v>13176</v>
      </c>
      <c r="D35" s="8">
        <f t="shared" si="5"/>
        <v>9667</v>
      </c>
      <c r="E35" s="8">
        <f t="shared" si="5"/>
        <v>7279</v>
      </c>
      <c r="F35" s="8">
        <f t="shared" si="5"/>
        <v>3053</v>
      </c>
      <c r="G35" s="9">
        <f t="shared" si="5"/>
        <v>13687</v>
      </c>
      <c r="H35" s="10">
        <f t="shared" si="5"/>
        <v>9801</v>
      </c>
      <c r="I35" s="10">
        <f t="shared" si="5"/>
        <v>4940</v>
      </c>
      <c r="J35" s="11">
        <f t="shared" si="5"/>
        <v>2408</v>
      </c>
      <c r="K35" s="9">
        <f t="shared" si="5"/>
        <v>10108</v>
      </c>
      <c r="L35" s="11">
        <f t="shared" si="5"/>
        <v>9180</v>
      </c>
    </row>
    <row r="36" spans="1:12" ht="11.25">
      <c r="A36" s="1" t="s">
        <v>29</v>
      </c>
      <c r="C36" s="8">
        <v>8941</v>
      </c>
      <c r="D36" s="8">
        <v>5596</v>
      </c>
      <c r="E36" s="8">
        <v>2654</v>
      </c>
      <c r="F36" s="8">
        <v>1430</v>
      </c>
      <c r="G36" s="9">
        <v>6475</v>
      </c>
      <c r="H36" s="10">
        <v>4284</v>
      </c>
      <c r="I36" s="10">
        <v>2735</v>
      </c>
      <c r="J36" s="11">
        <v>1190</v>
      </c>
      <c r="K36" s="9">
        <v>5526</v>
      </c>
      <c r="L36" s="11">
        <v>6884</v>
      </c>
    </row>
    <row r="37" spans="1:12" ht="11.25">
      <c r="A37" s="1" t="s">
        <v>30</v>
      </c>
      <c r="C37" s="8">
        <f aca="true" t="shared" si="6" ref="C37:L37">C35+C36</f>
        <v>22117</v>
      </c>
      <c r="D37" s="8">
        <f t="shared" si="6"/>
        <v>15263</v>
      </c>
      <c r="E37" s="8">
        <f t="shared" si="6"/>
        <v>9933</v>
      </c>
      <c r="F37" s="8">
        <f t="shared" si="6"/>
        <v>4483</v>
      </c>
      <c r="G37" s="9">
        <f t="shared" si="6"/>
        <v>20162</v>
      </c>
      <c r="H37" s="10">
        <f t="shared" si="6"/>
        <v>14085</v>
      </c>
      <c r="I37" s="10">
        <f t="shared" si="6"/>
        <v>7675</v>
      </c>
      <c r="J37" s="11">
        <f t="shared" si="6"/>
        <v>3598</v>
      </c>
      <c r="K37" s="9">
        <f t="shared" si="6"/>
        <v>15634</v>
      </c>
      <c r="L37" s="11">
        <f t="shared" si="6"/>
        <v>16064</v>
      </c>
    </row>
    <row r="38" spans="1:12" ht="11.25">
      <c r="A38" s="1" t="s">
        <v>31</v>
      </c>
      <c r="C38" s="8">
        <v>11672</v>
      </c>
      <c r="D38" s="8">
        <v>8574</v>
      </c>
      <c r="E38" s="8">
        <v>5940</v>
      </c>
      <c r="F38" s="8">
        <v>2766</v>
      </c>
      <c r="G38" s="9">
        <v>10729</v>
      </c>
      <c r="H38" s="10">
        <v>8106</v>
      </c>
      <c r="I38" s="10">
        <v>5439</v>
      </c>
      <c r="J38" s="11">
        <v>2715</v>
      </c>
      <c r="K38" s="9">
        <v>11184</v>
      </c>
      <c r="L38" s="11">
        <v>8288</v>
      </c>
    </row>
    <row r="39" spans="1:12" ht="11.25">
      <c r="A39" s="1" t="s">
        <v>32</v>
      </c>
      <c r="C39" s="8">
        <f aca="true" t="shared" si="7" ref="C39:L39">C37-C38</f>
        <v>10445</v>
      </c>
      <c r="D39" s="8">
        <f t="shared" si="7"/>
        <v>6689</v>
      </c>
      <c r="E39" s="8">
        <f t="shared" si="7"/>
        <v>3993</v>
      </c>
      <c r="F39" s="8">
        <f t="shared" si="7"/>
        <v>1717</v>
      </c>
      <c r="G39" s="9">
        <f t="shared" si="7"/>
        <v>9433</v>
      </c>
      <c r="H39" s="10">
        <f t="shared" si="7"/>
        <v>5979</v>
      </c>
      <c r="I39" s="10">
        <f t="shared" si="7"/>
        <v>2236</v>
      </c>
      <c r="J39" s="11">
        <f t="shared" si="7"/>
        <v>883</v>
      </c>
      <c r="K39" s="9">
        <f t="shared" si="7"/>
        <v>4450</v>
      </c>
      <c r="L39" s="11">
        <f t="shared" si="7"/>
        <v>7776</v>
      </c>
    </row>
    <row r="40" spans="1:12" ht="11.25">
      <c r="A40" s="2" t="s">
        <v>33</v>
      </c>
      <c r="B40" s="2"/>
      <c r="C40" s="12">
        <v>2224</v>
      </c>
      <c r="D40" s="12">
        <v>2577</v>
      </c>
      <c r="E40" s="12">
        <v>1487</v>
      </c>
      <c r="F40" s="12">
        <v>992</v>
      </c>
      <c r="G40" s="13">
        <v>3373</v>
      </c>
      <c r="H40" s="12">
        <v>1884</v>
      </c>
      <c r="I40" s="12">
        <v>641</v>
      </c>
      <c r="J40" s="14">
        <v>358</v>
      </c>
      <c r="K40" s="13">
        <v>958</v>
      </c>
      <c r="L40" s="14">
        <v>6199</v>
      </c>
    </row>
    <row r="41" spans="1:12" ht="11.25">
      <c r="A41" s="4" t="s">
        <v>34</v>
      </c>
      <c r="C41" s="8"/>
      <c r="D41" s="8"/>
      <c r="E41" s="8"/>
      <c r="F41" s="8"/>
      <c r="G41" s="15"/>
      <c r="H41" s="16"/>
      <c r="I41" s="16"/>
      <c r="J41" s="17"/>
      <c r="K41" s="15"/>
      <c r="L41" s="17"/>
    </row>
    <row r="42" spans="1:12" ht="11.25">
      <c r="A42" s="1" t="s">
        <v>35</v>
      </c>
      <c r="C42" s="8">
        <v>3911</v>
      </c>
      <c r="D42" s="8">
        <v>6533</v>
      </c>
      <c r="E42" s="8">
        <v>5355</v>
      </c>
      <c r="F42" s="8">
        <v>5827</v>
      </c>
      <c r="G42" s="9">
        <v>8014</v>
      </c>
      <c r="H42" s="10">
        <v>15329</v>
      </c>
      <c r="I42" s="10">
        <v>6143</v>
      </c>
      <c r="J42" s="11">
        <v>9275</v>
      </c>
      <c r="K42" s="9">
        <v>2567</v>
      </c>
      <c r="L42" s="11">
        <v>3985</v>
      </c>
    </row>
    <row r="43" spans="1:12" ht="11.25">
      <c r="A43" s="1" t="s">
        <v>36</v>
      </c>
      <c r="C43" s="8">
        <v>9620</v>
      </c>
      <c r="D43" s="8">
        <v>8409</v>
      </c>
      <c r="E43" s="8">
        <v>8165</v>
      </c>
      <c r="F43" s="8">
        <v>8290</v>
      </c>
      <c r="G43" s="9">
        <v>7111</v>
      </c>
      <c r="H43" s="10">
        <v>6726</v>
      </c>
      <c r="I43" s="10">
        <v>5616</v>
      </c>
      <c r="J43" s="11">
        <v>4497</v>
      </c>
      <c r="K43" s="9">
        <v>3799</v>
      </c>
      <c r="L43" s="11">
        <v>3434</v>
      </c>
    </row>
    <row r="44" spans="1:12" ht="11.25">
      <c r="A44" s="1" t="s">
        <v>37</v>
      </c>
      <c r="C44" s="18">
        <f aca="true" t="shared" si="8" ref="C44:L44">C42/C13</f>
        <v>0.013616882009073279</v>
      </c>
      <c r="D44" s="18">
        <f t="shared" si="8"/>
        <v>0.022854564091082417</v>
      </c>
      <c r="E44" s="18">
        <f t="shared" si="8"/>
        <v>0.018898888300688196</v>
      </c>
      <c r="F44" s="18">
        <f t="shared" si="8"/>
        <v>0.02066165520175874</v>
      </c>
      <c r="G44" s="19">
        <f t="shared" si="8"/>
        <v>0.02839357017080784</v>
      </c>
      <c r="H44" s="20">
        <f t="shared" si="8"/>
        <v>0.05395426435442485</v>
      </c>
      <c r="I44" s="20">
        <f t="shared" si="8"/>
        <v>0.024441579730557744</v>
      </c>
      <c r="J44" s="21">
        <f t="shared" si="8"/>
        <v>0.03985236364261346</v>
      </c>
      <c r="K44" s="19">
        <f t="shared" si="8"/>
        <v>0.011276527514814994</v>
      </c>
      <c r="L44" s="21">
        <f t="shared" si="8"/>
        <v>0.02180192797977919</v>
      </c>
    </row>
    <row r="45" spans="1:12" ht="11.25">
      <c r="A45" s="1" t="s">
        <v>38</v>
      </c>
      <c r="C45" s="18">
        <f aca="true" t="shared" si="9" ref="C45:L45">C43/C42</f>
        <v>2.4597289695729994</v>
      </c>
      <c r="D45" s="18">
        <f t="shared" si="9"/>
        <v>1.2871575080361244</v>
      </c>
      <c r="E45" s="18">
        <f t="shared" si="9"/>
        <v>1.5247432306255835</v>
      </c>
      <c r="F45" s="18">
        <f t="shared" si="9"/>
        <v>1.422687489274069</v>
      </c>
      <c r="G45" s="19">
        <f t="shared" si="9"/>
        <v>0.8873221861741951</v>
      </c>
      <c r="H45" s="20">
        <f t="shared" si="9"/>
        <v>0.438776175875791</v>
      </c>
      <c r="I45" s="20">
        <f t="shared" si="9"/>
        <v>0.914211297411688</v>
      </c>
      <c r="J45" s="21">
        <f t="shared" si="9"/>
        <v>0.48485175202156333</v>
      </c>
      <c r="K45" s="19">
        <f t="shared" si="9"/>
        <v>1.4799376704324114</v>
      </c>
      <c r="L45" s="21">
        <f t="shared" si="9"/>
        <v>0.8617314930991217</v>
      </c>
    </row>
    <row r="46" spans="1:12" ht="11.25">
      <c r="A46" s="2" t="s">
        <v>39</v>
      </c>
      <c r="B46" s="2"/>
      <c r="C46" s="22">
        <f aca="true" t="shared" si="10" ref="C46:L46">C43/C13</f>
        <v>0.03349383915297493</v>
      </c>
      <c r="D46" s="22">
        <f t="shared" si="10"/>
        <v>0.029417423762729534</v>
      </c>
      <c r="E46" s="22">
        <f t="shared" si="10"/>
        <v>0.028815952002823362</v>
      </c>
      <c r="F46" s="22">
        <f t="shared" si="10"/>
        <v>0.02939507836323665</v>
      </c>
      <c r="G46" s="23">
        <f t="shared" si="10"/>
        <v>0.025194244757251627</v>
      </c>
      <c r="H46" s="22">
        <f t="shared" si="10"/>
        <v>0.02367384578562604</v>
      </c>
      <c r="I46" s="22">
        <f t="shared" si="10"/>
        <v>0.02234476831626441</v>
      </c>
      <c r="J46" s="24">
        <f t="shared" si="10"/>
        <v>0.019322488334321587</v>
      </c>
      <c r="K46" s="23">
        <f t="shared" si="10"/>
        <v>0.01668855786084229</v>
      </c>
      <c r="L46" s="24">
        <f t="shared" si="10"/>
        <v>0.01878740795045464</v>
      </c>
    </row>
    <row r="47" spans="1:12" ht="11.25">
      <c r="A47" s="4" t="s">
        <v>40</v>
      </c>
      <c r="G47" s="15"/>
      <c r="H47" s="16"/>
      <c r="I47" s="16"/>
      <c r="J47" s="17"/>
      <c r="K47" s="15"/>
      <c r="L47" s="17"/>
    </row>
    <row r="48" spans="1:12" ht="11.25">
      <c r="A48" s="1" t="s">
        <v>41</v>
      </c>
      <c r="C48" s="18">
        <f aca="true" t="shared" si="11" ref="C48:L48">C25/(C13+C16)</f>
        <v>0.12036485596965803</v>
      </c>
      <c r="D48" s="18">
        <f t="shared" si="11"/>
        <v>0.12321737990884866</v>
      </c>
      <c r="E48" s="18">
        <f t="shared" si="11"/>
        <v>0.11956341506695098</v>
      </c>
      <c r="F48" s="18">
        <f t="shared" si="11"/>
        <v>0.12395434834350201</v>
      </c>
      <c r="G48" s="19">
        <f t="shared" si="11"/>
        <v>0.11347791948224993</v>
      </c>
      <c r="H48" s="20">
        <f t="shared" si="11"/>
        <v>0.11121899443362261</v>
      </c>
      <c r="I48" s="20">
        <f t="shared" si="11"/>
        <v>0.11861456589531699</v>
      </c>
      <c r="J48" s="21">
        <f t="shared" si="11"/>
        <v>0.12729793864539554</v>
      </c>
      <c r="K48" s="19">
        <f t="shared" si="11"/>
        <v>0.11210173853284788</v>
      </c>
      <c r="L48" s="21">
        <f t="shared" si="11"/>
        <v>0.1393619154742909</v>
      </c>
    </row>
    <row r="49" spans="1:12" ht="11.25">
      <c r="A49" s="2" t="s">
        <v>42</v>
      </c>
      <c r="B49" s="2"/>
      <c r="C49" s="22">
        <f aca="true" t="shared" si="12" ref="C49:L49">C25/C13</f>
        <v>0.1470665037236654</v>
      </c>
      <c r="D49" s="22">
        <f t="shared" si="12"/>
        <v>0.14801767354320958</v>
      </c>
      <c r="E49" s="22">
        <f t="shared" si="12"/>
        <v>0.14505382036350803</v>
      </c>
      <c r="F49" s="22">
        <f t="shared" si="12"/>
        <v>0.1514254308205092</v>
      </c>
      <c r="G49" s="23">
        <f t="shared" si="12"/>
        <v>0.13517947046381362</v>
      </c>
      <c r="H49" s="22">
        <f t="shared" si="12"/>
        <v>0.12982249895287407</v>
      </c>
      <c r="I49" s="22">
        <f t="shared" si="12"/>
        <v>0.141803337391678</v>
      </c>
      <c r="J49" s="24">
        <f t="shared" si="12"/>
        <v>0.15305026339082387</v>
      </c>
      <c r="K49" s="23">
        <f t="shared" si="12"/>
        <v>0.13471650537469085</v>
      </c>
      <c r="L49" s="24">
        <f t="shared" si="12"/>
        <v>0.17488592968673064</v>
      </c>
    </row>
    <row r="50" spans="1:12" ht="11.25">
      <c r="A50" s="4" t="s">
        <v>43</v>
      </c>
      <c r="G50" s="15"/>
      <c r="H50" s="16"/>
      <c r="I50" s="16"/>
      <c r="J50" s="17"/>
      <c r="K50" s="15"/>
      <c r="L50" s="17"/>
    </row>
    <row r="51" spans="1:12" ht="11.25">
      <c r="A51" s="1" t="s">
        <v>44</v>
      </c>
      <c r="C51" s="25">
        <f aca="true" t="shared" si="13" ref="C51:L51">C12/C17</f>
        <v>0.12363085855196417</v>
      </c>
      <c r="D51" s="25">
        <f t="shared" si="13"/>
        <v>0.07834015506971481</v>
      </c>
      <c r="E51" s="25">
        <f t="shared" si="13"/>
        <v>0.07628532013754007</v>
      </c>
      <c r="F51" s="25">
        <f t="shared" si="13"/>
        <v>0.2993151696775283</v>
      </c>
      <c r="G51" s="26">
        <f t="shared" si="13"/>
        <v>0.37329033358243763</v>
      </c>
      <c r="H51" s="27">
        <f t="shared" si="13"/>
        <v>0.3074160032384294</v>
      </c>
      <c r="I51" s="27">
        <f t="shared" si="13"/>
        <v>0.3429329280365233</v>
      </c>
      <c r="J51" s="28">
        <f t="shared" si="13"/>
        <v>0.32883941517641374</v>
      </c>
      <c r="K51" s="26">
        <f t="shared" si="13"/>
        <v>0.411605104547093</v>
      </c>
      <c r="L51" s="28">
        <f t="shared" si="13"/>
        <v>0.40809576647319906</v>
      </c>
    </row>
    <row r="52" spans="1:12" ht="11.25">
      <c r="A52" s="1" t="s">
        <v>45</v>
      </c>
      <c r="C52" s="25">
        <f aca="true" t="shared" si="14" ref="C52:L52">C12/C11</f>
        <v>0.0951860245469249</v>
      </c>
      <c r="D52" s="25">
        <f t="shared" si="14"/>
        <v>0.06003085435977203</v>
      </c>
      <c r="E52" s="25">
        <f t="shared" si="14"/>
        <v>0.057192989677990344</v>
      </c>
      <c r="F52" s="25">
        <f t="shared" si="14"/>
        <v>0.233704708409802</v>
      </c>
      <c r="G52" s="26">
        <f t="shared" si="14"/>
        <v>0.2943529649060014</v>
      </c>
      <c r="H52" s="27">
        <f t="shared" si="14"/>
        <v>0.2452463378717028</v>
      </c>
      <c r="I52" s="27">
        <f t="shared" si="14"/>
        <v>0.27114488563114664</v>
      </c>
      <c r="J52" s="28">
        <f t="shared" si="14"/>
        <v>0.26543918811828077</v>
      </c>
      <c r="K52" s="26">
        <f t="shared" si="14"/>
        <v>0.3360274106973805</v>
      </c>
      <c r="L52" s="28">
        <f t="shared" si="14"/>
        <v>0.32290016405298094</v>
      </c>
    </row>
    <row r="53" spans="1:12" ht="11.25">
      <c r="A53" s="2" t="s">
        <v>46</v>
      </c>
      <c r="B53" s="2"/>
      <c r="C53" s="29">
        <f aca="true" t="shared" si="15" ref="C53:L53">(C12+C16)/C17</f>
        <v>0.32251650461192705</v>
      </c>
      <c r="D53" s="29">
        <f t="shared" si="15"/>
        <v>0.26979468237329873</v>
      </c>
      <c r="E53" s="29">
        <f t="shared" si="15"/>
        <v>0.2835871601820141</v>
      </c>
      <c r="F53" s="29">
        <f t="shared" si="15"/>
        <v>0.4641967752827959</v>
      </c>
      <c r="G53" s="30">
        <f t="shared" si="15"/>
        <v>0.5086517772505906</v>
      </c>
      <c r="H53" s="29">
        <f t="shared" si="15"/>
        <v>0.4356659020375118</v>
      </c>
      <c r="I53" s="29">
        <f t="shared" si="15"/>
        <v>0.48599513177969555</v>
      </c>
      <c r="J53" s="31">
        <f t="shared" si="15"/>
        <v>0.4710639197680039</v>
      </c>
      <c r="K53" s="30">
        <f t="shared" si="15"/>
        <v>0.5399257286721415</v>
      </c>
      <c r="L53" s="31">
        <f t="shared" si="15"/>
        <v>0.5737950950267441</v>
      </c>
    </row>
    <row r="54" spans="1:12" ht="11.25">
      <c r="A54" s="4" t="s">
        <v>47</v>
      </c>
      <c r="G54" s="15"/>
      <c r="H54" s="16"/>
      <c r="I54" s="16"/>
      <c r="J54" s="17"/>
      <c r="K54" s="15"/>
      <c r="L54" s="17"/>
    </row>
    <row r="55" spans="1:12" ht="11.25">
      <c r="A55" s="1" t="s">
        <v>48</v>
      </c>
      <c r="B55" s="16"/>
      <c r="C55" s="20">
        <f>(C40)/C28</f>
        <v>0.006473047644133728</v>
      </c>
      <c r="D55" s="18">
        <f>((D40)/0.75)/D28</f>
        <v>0.010180454179808273</v>
      </c>
      <c r="E55" s="18">
        <f>((E40)/0.5)/E28</f>
        <v>0.009232756104981466</v>
      </c>
      <c r="F55" s="18">
        <f>((F40)/0.25)/F28</f>
        <v>0.012711063558521186</v>
      </c>
      <c r="G55" s="19">
        <f>(G40)/G28</f>
        <v>0.011062861191102481</v>
      </c>
      <c r="H55" s="20">
        <f>((H40)/0.75)/H28</f>
        <v>0.008481815756863619</v>
      </c>
      <c r="I55" s="20">
        <f>((I40)/0.5)/I28</f>
        <v>0.004596283535481373</v>
      </c>
      <c r="J55" s="21">
        <f>((J40)/0.25)/J28</f>
        <v>0.0054860225187432715</v>
      </c>
      <c r="K55" s="19">
        <f>K40/K28</f>
        <v>0.0038096147039993</v>
      </c>
      <c r="L55" s="21">
        <f>L40/L28</f>
        <v>0.029666390692821967</v>
      </c>
    </row>
    <row r="56" spans="1:12" ht="11.25">
      <c r="A56" s="1" t="s">
        <v>49</v>
      </c>
      <c r="B56" s="16"/>
      <c r="C56" s="20">
        <f>(C40)/C27</f>
        <v>0.004825341722716424</v>
      </c>
      <c r="D56" s="18">
        <f>((D40)/0.75)/D27</f>
        <v>0.00802195531658824</v>
      </c>
      <c r="E56" s="18">
        <f>((E40)/0.5)/E27</f>
        <v>0.007226620400744532</v>
      </c>
      <c r="F56" s="18">
        <f>((F40)/0.25)/F27</f>
        <v>0.008861078916750968</v>
      </c>
      <c r="G56" s="19">
        <f>(G40)/G27</f>
        <v>0.00714567171008868</v>
      </c>
      <c r="H56" s="20">
        <f>((H40)/0.75)/H27</f>
        <v>0.005858331914615746</v>
      </c>
      <c r="I56" s="20">
        <f>((I40)/0.5)/I27</f>
        <v>0.0031522083899886647</v>
      </c>
      <c r="J56" s="21">
        <f>((J40)/0.25)/J27</f>
        <v>0.0037404073700652483</v>
      </c>
      <c r="K56" s="19">
        <f>K40/K27</f>
        <v>0.0024138825966119972</v>
      </c>
      <c r="L56" s="21">
        <f>L40/L27</f>
        <v>0.01846622221427848</v>
      </c>
    </row>
    <row r="57" spans="1:12" ht="11.25">
      <c r="A57" s="1" t="s">
        <v>50</v>
      </c>
      <c r="B57" s="16"/>
      <c r="C57" s="20">
        <f>(C40)/C31</f>
        <v>0.05532751200338334</v>
      </c>
      <c r="D57" s="18">
        <f>((D40)/0.75)/D31</f>
        <v>0.08677315487088831</v>
      </c>
      <c r="E57" s="18">
        <f>((E40)/0.5)/E31</f>
        <v>0.07750746015819444</v>
      </c>
      <c r="F57" s="18">
        <f>((F40)/0.25)/F31</f>
        <v>0.10132141717203957</v>
      </c>
      <c r="G57" s="19">
        <f>(G40)/G31</f>
        <v>0.09802240595167173</v>
      </c>
      <c r="H57" s="20">
        <f>((H40)/0.75)/H31</f>
        <v>0.07231482281141147</v>
      </c>
      <c r="I57" s="20">
        <f>((I40)/0.5)/I31</f>
        <v>0.03783161684421755</v>
      </c>
      <c r="J57" s="21">
        <f>((J40)/0.25)/J31</f>
        <v>0.0428947999041457</v>
      </c>
      <c r="K57" s="19">
        <f>K40/K31</f>
        <v>0.030590902559353695</v>
      </c>
      <c r="L57" s="21">
        <f>L40/L31</f>
        <v>0.2061043322139841</v>
      </c>
    </row>
    <row r="58" spans="1:12" ht="11.25">
      <c r="A58" s="1" t="s">
        <v>51</v>
      </c>
      <c r="B58" s="16"/>
      <c r="C58" s="20">
        <f aca="true" t="shared" si="16" ref="C58:L58">(C33)/C28</f>
        <v>0.12328187008209186</v>
      </c>
      <c r="D58" s="20">
        <f t="shared" si="16"/>
        <v>0.09492177257232759</v>
      </c>
      <c r="E58" s="20">
        <f t="shared" si="16"/>
        <v>0.07026083933017503</v>
      </c>
      <c r="F58" s="21">
        <f t="shared" si="16"/>
        <v>0.03420583081600031</v>
      </c>
      <c r="G58" s="20">
        <f t="shared" si="16"/>
        <v>0.13991747951747163</v>
      </c>
      <c r="H58" s="20">
        <f t="shared" si="16"/>
        <v>0.10299733592649993</v>
      </c>
      <c r="I58" s="20">
        <f t="shared" si="16"/>
        <v>0.06579640830199232</v>
      </c>
      <c r="J58" s="21">
        <f t="shared" si="16"/>
        <v>0.03455198121267149</v>
      </c>
      <c r="K58" s="19">
        <f t="shared" si="16"/>
        <v>0.13490728479454725</v>
      </c>
      <c r="L58" s="32">
        <f t="shared" si="16"/>
        <v>0.14859037983891424</v>
      </c>
    </row>
    <row r="59" spans="1:12" ht="11.25">
      <c r="A59" s="1" t="s">
        <v>52</v>
      </c>
      <c r="B59" s="16"/>
      <c r="C59" s="20">
        <f aca="true" t="shared" si="17" ref="C59:L59">(C34)/C28</f>
        <v>0.08493255544220607</v>
      </c>
      <c r="D59" s="20">
        <f t="shared" si="17"/>
        <v>0.06627961583303581</v>
      </c>
      <c r="E59" s="20">
        <f t="shared" si="17"/>
        <v>0.047663249656953746</v>
      </c>
      <c r="F59" s="21">
        <f t="shared" si="17"/>
        <v>0.024425871883499</v>
      </c>
      <c r="G59" s="20">
        <f t="shared" si="17"/>
        <v>0.09502646821518299</v>
      </c>
      <c r="H59" s="20">
        <f t="shared" si="17"/>
        <v>0.06990407309488356</v>
      </c>
      <c r="I59" s="20">
        <f t="shared" si="17"/>
        <v>0.04808530013874897</v>
      </c>
      <c r="J59" s="21">
        <f t="shared" si="17"/>
        <v>0.025326881893443974</v>
      </c>
      <c r="K59" s="19">
        <f t="shared" si="17"/>
        <v>0.09471147537072164</v>
      </c>
      <c r="L59" s="32">
        <f t="shared" si="17"/>
        <v>0.10465789612216868</v>
      </c>
    </row>
    <row r="60" spans="1:12" ht="11.25">
      <c r="A60" s="1" t="s">
        <v>53</v>
      </c>
      <c r="B60" s="16"/>
      <c r="C60" s="20">
        <f aca="true" t="shared" si="18" ref="C60:L60">(C35)/C28</f>
        <v>0.03834931463988579</v>
      </c>
      <c r="D60" s="20">
        <f t="shared" si="18"/>
        <v>0.028642156739291783</v>
      </c>
      <c r="E60" s="20">
        <f t="shared" si="18"/>
        <v>0.022597589673221282</v>
      </c>
      <c r="F60" s="21">
        <f t="shared" si="18"/>
        <v>0.009779958932501305</v>
      </c>
      <c r="G60" s="20">
        <f t="shared" si="18"/>
        <v>0.04489101130228866</v>
      </c>
      <c r="H60" s="20">
        <f t="shared" si="18"/>
        <v>0.03309326283161637</v>
      </c>
      <c r="I60" s="20">
        <f t="shared" si="18"/>
        <v>0.017711108163243356</v>
      </c>
      <c r="J60" s="21">
        <f t="shared" si="18"/>
        <v>0.009225099319227513</v>
      </c>
      <c r="K60" s="19">
        <f t="shared" si="18"/>
        <v>0.0401958094238256</v>
      </c>
      <c r="L60" s="32">
        <f t="shared" si="18"/>
        <v>0.04393248371674555</v>
      </c>
    </row>
    <row r="61" spans="1:12" ht="11.25">
      <c r="A61" s="1" t="s">
        <v>54</v>
      </c>
      <c r="B61" s="16"/>
      <c r="C61" s="20">
        <f>(C38)/(C37)</f>
        <v>0.5277388434236108</v>
      </c>
      <c r="D61" s="20">
        <f>(D38/0.75)/(D37/0.75)</f>
        <v>0.5617506387997117</v>
      </c>
      <c r="E61" s="20">
        <f>(E38/0.5)/(E37/0.5)</f>
        <v>0.5980066445182725</v>
      </c>
      <c r="F61" s="21">
        <f>(F38/0.25)/(F37/0.25)</f>
        <v>0.6169975462859693</v>
      </c>
      <c r="G61" s="20">
        <f>(G38)/(G37)</f>
        <v>0.5321396686836624</v>
      </c>
      <c r="H61" s="20">
        <f>((H38)/0.75)/((H37)/0.75)</f>
        <v>0.5755058572949947</v>
      </c>
      <c r="I61" s="20">
        <f>((I38)/0.5)/((I37)/0.5)</f>
        <v>0.7086644951140065</v>
      </c>
      <c r="J61" s="21">
        <f>(J38/0.25)/(J37/0.25)</f>
        <v>0.754585881045025</v>
      </c>
      <c r="K61" s="19">
        <f>K38/K37</f>
        <v>0.71536395036459</v>
      </c>
      <c r="L61" s="21">
        <f>L38/L37</f>
        <v>0.5159362549800797</v>
      </c>
    </row>
    <row r="62" spans="1:12" ht="11.25">
      <c r="A62" s="2" t="s">
        <v>55</v>
      </c>
      <c r="B62" s="2"/>
      <c r="C62" s="22">
        <f aca="true" t="shared" si="19" ref="C62:L62">(C36)/C28</f>
        <v>0.02602316501178042</v>
      </c>
      <c r="D62" s="22">
        <f t="shared" si="19"/>
        <v>0.01658027403673082</v>
      </c>
      <c r="E62" s="22">
        <f t="shared" si="19"/>
        <v>0.008239318998863756</v>
      </c>
      <c r="F62" s="24">
        <f t="shared" si="19"/>
        <v>0.004580852038479157</v>
      </c>
      <c r="G62" s="22">
        <f t="shared" si="19"/>
        <v>0.021236888885973484</v>
      </c>
      <c r="H62" s="22">
        <f t="shared" si="19"/>
        <v>0.01446500744522442</v>
      </c>
      <c r="I62" s="22">
        <f t="shared" si="19"/>
        <v>0.009805643891998093</v>
      </c>
      <c r="J62" s="24">
        <f t="shared" si="19"/>
        <v>0.004558915361246155</v>
      </c>
      <c r="K62" s="23">
        <f t="shared" si="19"/>
        <v>0.021974875630793457</v>
      </c>
      <c r="L62" s="33">
        <f t="shared" si="19"/>
        <v>0.03294457711395168</v>
      </c>
    </row>
    <row r="63" spans="1:12" ht="11.25">
      <c r="A63" s="4" t="s">
        <v>56</v>
      </c>
      <c r="B63" s="16"/>
      <c r="G63" s="15"/>
      <c r="H63" s="16"/>
      <c r="I63" s="16"/>
      <c r="J63" s="17"/>
      <c r="K63" s="15"/>
      <c r="L63" s="17"/>
    </row>
    <row r="64" spans="1:12" ht="11.25">
      <c r="A64" s="1" t="s">
        <v>57</v>
      </c>
      <c r="B64" s="16"/>
      <c r="C64" s="8">
        <v>357</v>
      </c>
      <c r="D64" s="8">
        <v>372</v>
      </c>
      <c r="E64" s="8">
        <v>407</v>
      </c>
      <c r="F64" s="8">
        <v>417</v>
      </c>
      <c r="G64" s="9">
        <v>430</v>
      </c>
      <c r="H64" s="10">
        <v>449</v>
      </c>
      <c r="I64" s="10">
        <v>479</v>
      </c>
      <c r="J64" s="11">
        <v>503</v>
      </c>
      <c r="K64" s="9">
        <v>531</v>
      </c>
      <c r="L64" s="11">
        <v>325</v>
      </c>
    </row>
    <row r="65" spans="1:12" ht="11.25">
      <c r="A65" s="1" t="s">
        <v>58</v>
      </c>
      <c r="B65" s="16"/>
      <c r="C65" s="8">
        <v>11</v>
      </c>
      <c r="D65" s="8">
        <v>11</v>
      </c>
      <c r="E65" s="8">
        <v>11</v>
      </c>
      <c r="F65" s="8">
        <v>11</v>
      </c>
      <c r="G65" s="9">
        <v>7</v>
      </c>
      <c r="H65" s="10">
        <v>7</v>
      </c>
      <c r="I65" s="10">
        <v>7</v>
      </c>
      <c r="J65" s="11">
        <v>7</v>
      </c>
      <c r="K65" s="9">
        <v>7</v>
      </c>
      <c r="L65" s="11">
        <v>6</v>
      </c>
    </row>
    <row r="66" spans="1:12" ht="11.25">
      <c r="A66" s="1" t="s">
        <v>59</v>
      </c>
      <c r="B66" s="16"/>
      <c r="C66" s="34">
        <f aca="true" t="shared" si="20" ref="C66:L66">C13/C64</f>
        <v>804.5294117647059</v>
      </c>
      <c r="D66" s="34">
        <f t="shared" si="20"/>
        <v>768.4166666666666</v>
      </c>
      <c r="E66" s="34">
        <f t="shared" si="20"/>
        <v>696.1916461916462</v>
      </c>
      <c r="F66" s="34">
        <f t="shared" si="20"/>
        <v>676.3069544364508</v>
      </c>
      <c r="G66" s="35">
        <f t="shared" si="20"/>
        <v>656.3883720930232</v>
      </c>
      <c r="H66" s="36">
        <f t="shared" si="20"/>
        <v>632.7639198218263</v>
      </c>
      <c r="I66" s="36">
        <f t="shared" si="20"/>
        <v>524.705636743215</v>
      </c>
      <c r="J66" s="37">
        <f t="shared" si="20"/>
        <v>462.6918489065606</v>
      </c>
      <c r="K66" s="35">
        <f t="shared" si="20"/>
        <v>428.7024482109228</v>
      </c>
      <c r="L66" s="37">
        <f t="shared" si="20"/>
        <v>562.4061538461539</v>
      </c>
    </row>
    <row r="67" spans="1:12" ht="11.25">
      <c r="A67" s="1" t="s">
        <v>60</v>
      </c>
      <c r="B67" s="16"/>
      <c r="C67" s="34">
        <f aca="true" t="shared" si="21" ref="C67:L67">C17/C64</f>
        <v>897.3809523809524</v>
      </c>
      <c r="D67" s="34">
        <f t="shared" si="21"/>
        <v>807.8225806451613</v>
      </c>
      <c r="E67" s="34">
        <f t="shared" si="21"/>
        <v>715.9852579852579</v>
      </c>
      <c r="F67" s="34">
        <f t="shared" si="21"/>
        <v>909.0455635491606</v>
      </c>
      <c r="G67" s="35">
        <f t="shared" si="21"/>
        <v>927.353488372093</v>
      </c>
      <c r="H67" s="36">
        <f t="shared" si="21"/>
        <v>825.2783964365257</v>
      </c>
      <c r="I67" s="36">
        <f t="shared" si="21"/>
        <v>717.0187891440501</v>
      </c>
      <c r="J67" s="37">
        <f t="shared" si="21"/>
        <v>658.131212723658</v>
      </c>
      <c r="K67" s="35">
        <f t="shared" si="21"/>
        <v>673.9679849340866</v>
      </c>
      <c r="L67" s="37">
        <f t="shared" si="21"/>
        <v>865.1815384615385</v>
      </c>
    </row>
    <row r="68" spans="1:12" ht="11.25">
      <c r="A68" s="2" t="s">
        <v>61</v>
      </c>
      <c r="B68" s="2"/>
      <c r="C68" s="38">
        <f aca="true" t="shared" si="22" ref="C68:L68">C40/C64</f>
        <v>6.2296918767507</v>
      </c>
      <c r="D68" s="38">
        <f t="shared" si="22"/>
        <v>6.92741935483871</v>
      </c>
      <c r="E68" s="38">
        <f t="shared" si="22"/>
        <v>3.6535626535626538</v>
      </c>
      <c r="F68" s="38">
        <f t="shared" si="22"/>
        <v>2.3788968824940047</v>
      </c>
      <c r="G68" s="39">
        <f t="shared" si="22"/>
        <v>7.844186046511628</v>
      </c>
      <c r="H68" s="38">
        <f t="shared" si="22"/>
        <v>4.195991091314031</v>
      </c>
      <c r="I68" s="38">
        <f t="shared" si="22"/>
        <v>1.3382045929018789</v>
      </c>
      <c r="J68" s="40">
        <f t="shared" si="22"/>
        <v>0.7117296222664016</v>
      </c>
      <c r="K68" s="39">
        <f t="shared" si="22"/>
        <v>1.8041431261770244</v>
      </c>
      <c r="L68" s="40">
        <f t="shared" si="22"/>
        <v>19.073846153846155</v>
      </c>
    </row>
    <row r="69" spans="1:12" ht="11.25">
      <c r="A69" s="4" t="s">
        <v>62</v>
      </c>
      <c r="B69" s="16"/>
      <c r="G69" s="15"/>
      <c r="H69" s="16"/>
      <c r="I69" s="16"/>
      <c r="J69" s="17"/>
      <c r="K69" s="15"/>
      <c r="L69" s="17"/>
    </row>
    <row r="70" spans="1:12" ht="11.25">
      <c r="A70" s="1" t="s">
        <v>63</v>
      </c>
      <c r="B70" s="16"/>
      <c r="C70" s="18">
        <f>(C11-G11)/G11</f>
        <v>-0.1771765417768277</v>
      </c>
      <c r="D70" s="18">
        <f>(D11-H11)/H11</f>
        <v>-0.15569750518855333</v>
      </c>
      <c r="E70" s="18">
        <f>(E11-I11)/I11</f>
        <v>-0.10520645327636377</v>
      </c>
      <c r="F70" s="18">
        <f>(F11-J11)/J11</f>
        <v>0.1838145468643702</v>
      </c>
      <c r="G70" s="19">
        <f>(G11-K11)/K11</f>
        <v>0.15359206513234283</v>
      </c>
      <c r="H70" s="20">
        <f>(H11-393100)/393100</f>
        <v>0.18159247010938692</v>
      </c>
      <c r="I70" s="20">
        <f>(I11-379015)/379015</f>
        <v>0.14608656649472976</v>
      </c>
      <c r="J70" s="21">
        <f>(J11-355585)/355585</f>
        <v>0.15333605185820548</v>
      </c>
      <c r="K70" s="19">
        <f>(K11-L11)/L11</f>
        <v>0.23354616135722184</v>
      </c>
      <c r="L70" s="21">
        <f>(L11-316015)/316015</f>
        <v>0.12454472097843457</v>
      </c>
    </row>
    <row r="71" spans="1:12" ht="11.25">
      <c r="A71" s="1" t="s">
        <v>64</v>
      </c>
      <c r="B71" s="16"/>
      <c r="C71" s="18">
        <f aca="true" t="shared" si="23" ref="C71:E73">(C13-G13)/G13</f>
        <v>0.017608690260658217</v>
      </c>
      <c r="D71" s="18">
        <f t="shared" si="23"/>
        <v>0.006124366884773909</v>
      </c>
      <c r="E71" s="18">
        <f t="shared" si="23"/>
        <v>0.12738427749528516</v>
      </c>
      <c r="F71" s="18">
        <f>F13/J13-1</f>
        <v>0.2117696597832719</v>
      </c>
      <c r="G71" s="19">
        <f>G13/K13-1</f>
        <v>0.23987770217140136</v>
      </c>
      <c r="H71" s="20">
        <f>H13/213420-1</f>
        <v>0.33122950051541555</v>
      </c>
      <c r="I71" s="20">
        <f>I13/210994-1</f>
        <v>0.19119027081338813</v>
      </c>
      <c r="J71" s="21">
        <f>J13/194949-1</f>
        <v>0.1938199221334811</v>
      </c>
      <c r="K71" s="19">
        <f>K13/L13-1</f>
        <v>0.24542350997362972</v>
      </c>
      <c r="L71" s="21">
        <f>L13/142182-1</f>
        <v>0.28554950696993986</v>
      </c>
    </row>
    <row r="72" spans="2:12" ht="11.25">
      <c r="B72" s="16" t="s">
        <v>15</v>
      </c>
      <c r="C72" s="18">
        <f t="shared" si="23"/>
        <v>0.06562526687880825</v>
      </c>
      <c r="D72" s="18">
        <f t="shared" si="23"/>
        <v>0.0423819328980257</v>
      </c>
      <c r="E72" s="18">
        <f t="shared" si="23"/>
        <v>0.2119290809957488</v>
      </c>
      <c r="F72" s="18">
        <f>(F14-J14)/J14</f>
        <v>0.27152388801199406</v>
      </c>
      <c r="G72" s="19">
        <f>(G14-K14)/K14</f>
        <v>0.2618221004052756</v>
      </c>
      <c r="H72" s="20">
        <f>(H14-199369)/199369</f>
        <v>0.36656651736227797</v>
      </c>
      <c r="I72" s="20">
        <f>(I14-202980)/202980</f>
        <v>0.148443196374027</v>
      </c>
      <c r="J72" s="21">
        <f>(J14-185187)/185187</f>
        <v>0.1597628343242236</v>
      </c>
      <c r="K72" s="19">
        <f>(K14-L14)/L14</f>
        <v>0.2672857575451701</v>
      </c>
      <c r="L72" s="21">
        <f>(L14-130037)/130037</f>
        <v>0.2951621461584011</v>
      </c>
    </row>
    <row r="73" spans="2:12" ht="11.25">
      <c r="B73" s="16" t="s">
        <v>16</v>
      </c>
      <c r="C73" s="20">
        <f t="shared" si="23"/>
        <v>-0.9825212683681361</v>
      </c>
      <c r="D73" s="18">
        <f t="shared" si="23"/>
        <v>-0.8410806174957118</v>
      </c>
      <c r="E73" s="18">
        <f t="shared" si="23"/>
        <v>-0.9541239093453329</v>
      </c>
      <c r="F73" s="18">
        <f>(F15-J15)/J15</f>
        <v>-0.5027559712710874</v>
      </c>
      <c r="G73" s="19">
        <f>(G15-K15)/K15</f>
        <v>-0.08982120230888357</v>
      </c>
      <c r="H73" s="20">
        <f>(H15-14050)/14050</f>
        <v>-0.1701067615658363</v>
      </c>
      <c r="I73" s="20">
        <f>(I15-8014)/8014</f>
        <v>1.2738956825555279</v>
      </c>
      <c r="J73" s="21">
        <f>(J15-9762)/9762</f>
        <v>0.8398893669330055</v>
      </c>
      <c r="K73" s="19">
        <f>(K15-L15)/L15</f>
        <v>-0.010930864025621389</v>
      </c>
      <c r="L73" s="21">
        <f>(L15-12145)/12145</f>
        <v>0.18262659530671058</v>
      </c>
    </row>
    <row r="74" spans="1:12" ht="11.25">
      <c r="A74" s="1" t="s">
        <v>65</v>
      </c>
      <c r="B74" s="16"/>
      <c r="C74" s="18">
        <f aca="true" t="shared" si="24" ref="C74:E75">(C17-G17)/G17</f>
        <v>-0.19660098003320275</v>
      </c>
      <c r="D74" s="18">
        <f t="shared" si="24"/>
        <v>-0.18901632708136554</v>
      </c>
      <c r="E74" s="18">
        <f t="shared" si="24"/>
        <v>-0.15153791505072034</v>
      </c>
      <c r="F74" s="18">
        <f>F17/J17-1</f>
        <v>0.14509424842919283</v>
      </c>
      <c r="G74" s="19">
        <f>G17/K17-1</f>
        <v>0.11424316175669302</v>
      </c>
      <c r="H74" s="20">
        <f>H17/326782-1</f>
        <v>0.13393638572503996</v>
      </c>
      <c r="I74" s="20">
        <f>I17/310132-1</f>
        <v>0.10743812312176759</v>
      </c>
      <c r="J74" s="21">
        <f>J17/287064-1</f>
        <v>0.15319231948276335</v>
      </c>
      <c r="K74" s="19">
        <f>K17/L17-1</f>
        <v>0.2727502276089677</v>
      </c>
      <c r="L74" s="21">
        <f>L17/268183-1</f>
        <v>0.04847809145247828</v>
      </c>
    </row>
    <row r="75" spans="2:12" ht="11.25">
      <c r="B75" s="16" t="s">
        <v>15</v>
      </c>
      <c r="C75" s="18">
        <f t="shared" si="24"/>
        <v>0.07172399165753474</v>
      </c>
      <c r="D75" s="18">
        <f t="shared" si="24"/>
        <v>0.06396313969988002</v>
      </c>
      <c r="E75" s="18">
        <f t="shared" si="24"/>
        <v>0.0649665428322874</v>
      </c>
      <c r="F75" s="18">
        <f>(F18-J18)/J18</f>
        <v>0.02885134342367711</v>
      </c>
      <c r="G75" s="19">
        <f>(G18-K18)/K18</f>
        <v>-0.007975352553665807</v>
      </c>
      <c r="H75" s="20">
        <f>(H18-168748)/168748</f>
        <v>0.0816543010880129</v>
      </c>
      <c r="I75" s="20">
        <f>(I18-165861)/165861</f>
        <v>0.10195284002869873</v>
      </c>
      <c r="J75" s="21">
        <f>(J18-146565)/146565</f>
        <v>0.16303346638010438</v>
      </c>
      <c r="K75" s="19">
        <f>(K18-L18)/L18</f>
        <v>0.40378205038045545</v>
      </c>
      <c r="L75" s="21">
        <f>(L18-126790)/126790</f>
        <v>0.1215237794778768</v>
      </c>
    </row>
    <row r="76" spans="2:12" ht="11.25">
      <c r="B76" s="16" t="s">
        <v>16</v>
      </c>
      <c r="C76" s="18">
        <f>(C22-G22)/G22</f>
        <v>-0.46129551307917244</v>
      </c>
      <c r="D76" s="18">
        <f>(D22-H22)/H22</f>
        <v>-0.4346010860373465</v>
      </c>
      <c r="E76" s="18">
        <f>(E22-I22)/I22</f>
        <v>-0.39780683465997846</v>
      </c>
      <c r="F76" s="18">
        <f>(F22-J22)/J22</f>
        <v>0.2684892265537427</v>
      </c>
      <c r="G76" s="19">
        <f>(G22-K22)/K22</f>
        <v>0.26839670925427456</v>
      </c>
      <c r="H76" s="20">
        <f>(H22-158034)/158034</f>
        <v>0.1897629624004961</v>
      </c>
      <c r="I76" s="20">
        <f>(I22-144271)/144271</f>
        <v>0.11374427293080383</v>
      </c>
      <c r="J76" s="21">
        <f>(J22-140499)/140499</f>
        <v>0.1429262841728411</v>
      </c>
      <c r="K76" s="19">
        <f>(K22-L22)/L22</f>
        <v>0.13869022779272733</v>
      </c>
      <c r="L76" s="21">
        <f>(L22-141392)/141392</f>
        <v>-0.017016521443928935</v>
      </c>
    </row>
    <row r="77" spans="1:12" ht="11.25">
      <c r="A77" s="1" t="s">
        <v>66</v>
      </c>
      <c r="C77" s="18">
        <f>C25/G25-1</f>
        <v>0.10709231011165277</v>
      </c>
      <c r="D77" s="18">
        <f>D25/H25-1</f>
        <v>0.14713696995987413</v>
      </c>
      <c r="E77" s="18">
        <f>E25/I25-1</f>
        <v>0.15322671156004497</v>
      </c>
      <c r="F77" s="18">
        <f>(F25-J25)/J25</f>
        <v>0.1989051094890511</v>
      </c>
      <c r="G77" s="19">
        <f>(G25-K25)/K25</f>
        <v>0.24413865066684057</v>
      </c>
      <c r="H77" s="20">
        <f>(H25-32590)/32590</f>
        <v>0.13175820803927585</v>
      </c>
      <c r="I77" s="20">
        <f>(I25-32134)/32134</f>
        <v>0.10910562021534823</v>
      </c>
      <c r="J77" s="21">
        <f>(J25-31149)/31149</f>
        <v>0.1435359080548332</v>
      </c>
      <c r="K77" s="19">
        <f>(K25-L25)/L25</f>
        <v>-0.04063692673465557</v>
      </c>
      <c r="L77" s="21">
        <f>(L25-28187)/28187</f>
        <v>0.13406889700925959</v>
      </c>
    </row>
    <row r="78" spans="1:12" ht="11.25">
      <c r="A78" s="2" t="s">
        <v>67</v>
      </c>
      <c r="B78" s="2"/>
      <c r="C78" s="22">
        <f>(C40-G40)/G40</f>
        <v>-0.3406463089238067</v>
      </c>
      <c r="D78" s="22">
        <f>(D40-H40)/H40</f>
        <v>0.3678343949044586</v>
      </c>
      <c r="E78" s="22">
        <f>(E40-I40)/I40</f>
        <v>1.3198127925117005</v>
      </c>
      <c r="F78" s="22">
        <f>F40/J40-1</f>
        <v>1.7709497206703912</v>
      </c>
      <c r="G78" s="23">
        <f>G40/K40-1</f>
        <v>2.520876826722338</v>
      </c>
      <c r="H78" s="22">
        <f>H40/1998-1</f>
        <v>-0.0570570570570571</v>
      </c>
      <c r="I78" s="22">
        <f>I40/1539-1</f>
        <v>-0.5834957764782327</v>
      </c>
      <c r="J78" s="24">
        <f>J40/612-1</f>
        <v>-0.41503267973856206</v>
      </c>
      <c r="K78" s="23">
        <f>(K40-L40)/L40</f>
        <v>-0.8454589449911276</v>
      </c>
      <c r="L78" s="24">
        <f>(L40-2227)/2227</f>
        <v>1.783565334530759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313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2002-07-11T18:39:12Z</cp:lastPrinted>
  <dcterms:created xsi:type="dcterms:W3CDTF">2002-03-19T15:10:29Z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