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Disa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<sst xmlns="http://schemas.openxmlformats.org/spreadsheetml/2006/main" count="84" uniqueCount="68">
  <si>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 18-16</t>
  </si>
  <si>
    <t>BANCO DISA, S.A.</t>
  </si>
  <si>
    <t>ESTADISTICA FINANCIERA. AÑO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</si>
  <si>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</si>
  <si>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</si>
  <si>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</si>
  <si>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</si>
  <si>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</si>
  <si>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</si>
  <si>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</si>
  <si>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</si>
  <si>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</si>
  <si>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</si>
  <si>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</si>
  <si>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</si>
  <si>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</si>
  <si>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</si>
  <si>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</si>
  <si>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</si>
  <si>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</si>
  <si>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</si>
  <si>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</si>
  <si>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</si>
  <si>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</si>
  <si>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</si>
  <si>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</si>
  <si>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</si>
  <si>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</si>
  <si>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</si>
  <si>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</si>
  <si>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</si>
  <si>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</si>
  <si>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</si>
  <si>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</si>
  <si>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</si>
  <si>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</si>
  <si>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</si>
  <si>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</si>
  <si>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</si>
  <si>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</si>
  <si>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</si>
  <si>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Gerenadores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</si>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</sst>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_ * #,##0.0_ ;_ * \-#,##0.0_ ;_ * &quot;-&quot;?_ ;_ @_ 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3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1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6" xfId="15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" sqref="F5"/>
    </sheetView>
  </sheetViews>
  <sheetFormatPr defaultColWidth="11.421875" defaultRowHeight="12.75"/>
  <cols>
    <col min="1" max="1" width="2.28125" style="1" customWidth="1"/>
    <col min="2" max="2" width="40.8515625" style="1" customWidth="1"/>
    <col min="3" max="3" width="9.28125" style="1" customWidth="1"/>
    <col min="4" max="4" width="9.8515625" style="1" customWidth="1"/>
    <col min="5" max="7" width="8.140625" style="1" bestFit="1" customWidth="1"/>
    <col min="8" max="8" width="8.7109375" style="1" bestFit="1" customWidth="1"/>
    <col min="9" max="11" width="8.140625" style="1" bestFit="1" customWidth="1"/>
    <col min="12" max="12" width="0.13671875" style="1" hidden="1" customWidth="1"/>
    <col min="13" max="16384" width="11.421875" style="1" customWidth="1"/>
  </cols>
  <sheetData>
    <row r="1" ht="11.25"/>
    <row r="2" spans="2:12" ht="11.25">
      <c r="B2" s="40"/>
      <c r="C2" s="40"/>
      <c r="D2" s="40"/>
      <c r="E2" s="40"/>
      <c r="F2" s="40" t="s">
        <v>0</v>
      </c>
      <c r="H2" s="40"/>
      <c r="I2" s="40"/>
      <c r="J2" s="40"/>
      <c r="K2" s="40"/>
      <c r="L2" s="40"/>
    </row>
    <row r="3" spans="2:12" ht="11.25">
      <c r="B3" s="40"/>
      <c r="C3" s="40"/>
      <c r="D3" s="40"/>
      <c r="E3" s="40"/>
      <c r="F3" s="40" t="s">
        <v>1</v>
      </c>
      <c r="H3" s="40"/>
      <c r="I3" s="40"/>
      <c r="J3" s="40"/>
      <c r="K3" s="40"/>
      <c r="L3" s="40"/>
    </row>
    <row r="4" spans="2:12" ht="11.25">
      <c r="B4" s="40"/>
      <c r="C4" s="40"/>
      <c r="D4" s="40"/>
      <c r="E4" s="40"/>
      <c r="F4" s="40" t="s">
        <v>2</v>
      </c>
      <c r="H4" s="40"/>
      <c r="I4" s="40"/>
      <c r="J4" s="40"/>
      <c r="K4" s="40"/>
      <c r="L4" s="40"/>
    </row>
    <row r="5" spans="2:12" ht="11.25">
      <c r="B5" s="39"/>
      <c r="C5" s="39"/>
      <c r="D5" s="39"/>
      <c r="E5" s="39"/>
      <c r="F5" s="39" t="s">
        <v>3</v>
      </c>
      <c r="H5" s="39"/>
      <c r="I5" s="39"/>
      <c r="J5" s="39"/>
      <c r="K5" s="39"/>
      <c r="L5" s="39"/>
    </row>
    <row r="6" spans="1:12" ht="11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1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1.25">
      <c r="A8" s="3"/>
      <c r="B8" s="3"/>
      <c r="C8" s="47">
        <v>2001</v>
      </c>
      <c r="D8" s="47"/>
      <c r="E8" s="47"/>
      <c r="F8" s="48"/>
      <c r="G8" s="46">
        <v>2000</v>
      </c>
      <c r="H8" s="47"/>
      <c r="I8" s="47"/>
      <c r="J8" s="48"/>
      <c r="K8" s="46" t="s">
        <v>4</v>
      </c>
      <c r="L8" s="48"/>
    </row>
    <row r="9" spans="1:12" s="4" customFormat="1" ht="11.25">
      <c r="A9" s="41"/>
      <c r="B9" s="41"/>
      <c r="C9" s="41" t="s">
        <v>5</v>
      </c>
      <c r="D9" s="41" t="s">
        <v>6</v>
      </c>
      <c r="E9" s="41" t="s">
        <v>7</v>
      </c>
      <c r="F9" s="41" t="s">
        <v>8</v>
      </c>
      <c r="G9" s="42" t="s">
        <v>5</v>
      </c>
      <c r="H9" s="41" t="s">
        <v>6</v>
      </c>
      <c r="I9" s="41" t="s">
        <v>7</v>
      </c>
      <c r="J9" s="43" t="s">
        <v>8</v>
      </c>
      <c r="K9" s="44" t="s">
        <v>9</v>
      </c>
      <c r="L9" s="45" t="s">
        <v>10</v>
      </c>
    </row>
    <row r="10" spans="1:12" ht="11.25">
      <c r="A10" s="4" t="s">
        <v>11</v>
      </c>
      <c r="B10" s="4"/>
      <c r="C10" s="4"/>
      <c r="D10" s="4"/>
      <c r="E10" s="4"/>
      <c r="F10" s="4"/>
      <c r="G10" s="5"/>
      <c r="H10" s="6"/>
      <c r="I10" s="6"/>
      <c r="J10" s="7"/>
      <c r="K10" s="5"/>
      <c r="L10" s="7"/>
    </row>
    <row r="11" spans="1:12" ht="11.25">
      <c r="A11" s="1" t="s">
        <v>12</v>
      </c>
      <c r="C11" s="8">
        <v>140605</v>
      </c>
      <c r="D11" s="8">
        <v>160202</v>
      </c>
      <c r="E11" s="8">
        <v>243855</v>
      </c>
      <c r="F11" s="8">
        <v>237642</v>
      </c>
      <c r="G11" s="9">
        <v>415634</v>
      </c>
      <c r="H11" s="10">
        <v>448384</v>
      </c>
      <c r="I11" s="10">
        <v>442233</v>
      </c>
      <c r="J11" s="11">
        <v>417214</v>
      </c>
      <c r="K11" s="9">
        <v>414393</v>
      </c>
      <c r="L11" s="11">
        <v>323257</v>
      </c>
    </row>
    <row r="12" spans="1:12" ht="11.25">
      <c r="A12" s="1" t="s">
        <v>13</v>
      </c>
      <c r="C12" s="8">
        <v>3922</v>
      </c>
      <c r="D12" s="8">
        <v>6425</v>
      </c>
      <c r="E12" s="8">
        <v>5211</v>
      </c>
      <c r="F12" s="8">
        <v>14735</v>
      </c>
      <c r="G12" s="9">
        <v>18280</v>
      </c>
      <c r="H12" s="10">
        <v>33343</v>
      </c>
      <c r="I12" s="10">
        <v>43475</v>
      </c>
      <c r="J12" s="11">
        <v>17942</v>
      </c>
      <c r="K12" s="9">
        <v>12108</v>
      </c>
      <c r="L12" s="11">
        <v>37886</v>
      </c>
    </row>
    <row r="13" spans="1:12" ht="11.25">
      <c r="A13" s="1" t="s">
        <v>14</v>
      </c>
      <c r="C13" s="8">
        <f aca="true" t="shared" si="0" ref="C13:L13">C14+C15</f>
        <v>79996</v>
      </c>
      <c r="D13" s="8">
        <f t="shared" si="0"/>
        <v>82371</v>
      </c>
      <c r="E13" s="8">
        <f t="shared" si="0"/>
        <v>100444</v>
      </c>
      <c r="F13" s="8">
        <f t="shared" si="0"/>
        <v>103579</v>
      </c>
      <c r="G13" s="9">
        <f t="shared" si="0"/>
        <v>91188</v>
      </c>
      <c r="H13" s="10">
        <f t="shared" si="0"/>
        <v>85618</v>
      </c>
      <c r="I13" s="10">
        <f t="shared" si="0"/>
        <v>84790</v>
      </c>
      <c r="J13" s="11">
        <f t="shared" si="0"/>
        <v>85340</v>
      </c>
      <c r="K13" s="9">
        <f t="shared" si="0"/>
        <v>98403</v>
      </c>
      <c r="L13" s="11">
        <f t="shared" si="0"/>
        <v>91638</v>
      </c>
    </row>
    <row r="14" spans="2:12" ht="11.25">
      <c r="B14" s="1" t="s">
        <v>15</v>
      </c>
      <c r="C14" s="8">
        <v>77524</v>
      </c>
      <c r="D14" s="8">
        <v>79899</v>
      </c>
      <c r="E14" s="8">
        <v>97665</v>
      </c>
      <c r="F14" s="8">
        <v>100198</v>
      </c>
      <c r="G14" s="9">
        <v>86588</v>
      </c>
      <c r="H14" s="10">
        <v>77661</v>
      </c>
      <c r="I14" s="10">
        <v>78957</v>
      </c>
      <c r="J14" s="11">
        <v>80226</v>
      </c>
      <c r="K14" s="9">
        <v>93359</v>
      </c>
      <c r="L14" s="11">
        <v>86501</v>
      </c>
    </row>
    <row r="15" spans="2:12" ht="11.25">
      <c r="B15" s="1" t="s">
        <v>16</v>
      </c>
      <c r="C15" s="8">
        <v>2472</v>
      </c>
      <c r="D15" s="8">
        <v>2472</v>
      </c>
      <c r="E15" s="8">
        <v>2779</v>
      </c>
      <c r="F15" s="8">
        <v>3381</v>
      </c>
      <c r="G15" s="9">
        <v>4600</v>
      </c>
      <c r="H15" s="10">
        <v>7957</v>
      </c>
      <c r="I15" s="10">
        <v>5833</v>
      </c>
      <c r="J15" s="11">
        <v>5114</v>
      </c>
      <c r="K15" s="9">
        <v>5044</v>
      </c>
      <c r="L15" s="11">
        <v>5137</v>
      </c>
    </row>
    <row r="16" spans="1:12" ht="11.25">
      <c r="A16" s="1" t="s">
        <v>17</v>
      </c>
      <c r="C16" s="8">
        <v>48295</v>
      </c>
      <c r="D16" s="8">
        <v>58677</v>
      </c>
      <c r="E16" s="8">
        <v>127046</v>
      </c>
      <c r="F16" s="8">
        <v>108884</v>
      </c>
      <c r="G16" s="9">
        <v>291871</v>
      </c>
      <c r="H16" s="10">
        <v>317360</v>
      </c>
      <c r="I16" s="10">
        <v>301331</v>
      </c>
      <c r="J16" s="11">
        <v>298866</v>
      </c>
      <c r="K16" s="9">
        <v>285116</v>
      </c>
      <c r="L16" s="11">
        <v>181878</v>
      </c>
    </row>
    <row r="17" spans="1:12" ht="11.25">
      <c r="A17" s="1" t="s">
        <v>18</v>
      </c>
      <c r="C17" s="8">
        <f aca="true" t="shared" si="1" ref="C17:L17">C18+C22</f>
        <v>89897</v>
      </c>
      <c r="D17" s="8">
        <f t="shared" si="1"/>
        <v>101128</v>
      </c>
      <c r="E17" s="8">
        <f t="shared" si="1"/>
        <v>134520</v>
      </c>
      <c r="F17" s="8">
        <f t="shared" si="1"/>
        <v>150163</v>
      </c>
      <c r="G17" s="9">
        <f t="shared" si="1"/>
        <v>190245</v>
      </c>
      <c r="H17" s="10">
        <f t="shared" si="1"/>
        <v>254884</v>
      </c>
      <c r="I17" s="10">
        <f t="shared" si="1"/>
        <v>247186</v>
      </c>
      <c r="J17" s="11">
        <f t="shared" si="1"/>
        <v>228902</v>
      </c>
      <c r="K17" s="9">
        <f t="shared" si="1"/>
        <v>221483</v>
      </c>
      <c r="L17" s="11">
        <f t="shared" si="1"/>
        <v>237256</v>
      </c>
    </row>
    <row r="18" spans="2:12" ht="11.25">
      <c r="B18" s="1" t="s">
        <v>15</v>
      </c>
      <c r="C18" s="8">
        <f aca="true" t="shared" si="2" ref="C18:L18">SUM(C19:C21)</f>
        <v>81495</v>
      </c>
      <c r="D18" s="8">
        <f t="shared" si="2"/>
        <v>88981</v>
      </c>
      <c r="E18" s="8">
        <f t="shared" si="2"/>
        <v>112215</v>
      </c>
      <c r="F18" s="8">
        <f t="shared" si="2"/>
        <v>129686</v>
      </c>
      <c r="G18" s="9">
        <f t="shared" si="2"/>
        <v>162965</v>
      </c>
      <c r="H18" s="10">
        <f t="shared" si="2"/>
        <v>208124</v>
      </c>
      <c r="I18" s="10">
        <f t="shared" si="2"/>
        <v>193282</v>
      </c>
      <c r="J18" s="11">
        <f t="shared" si="2"/>
        <v>197562</v>
      </c>
      <c r="K18" s="9">
        <f t="shared" si="2"/>
        <v>192675</v>
      </c>
      <c r="L18" s="11">
        <f t="shared" si="2"/>
        <v>212619</v>
      </c>
    </row>
    <row r="19" spans="2:12" ht="11.25">
      <c r="B19" s="1" t="s">
        <v>19</v>
      </c>
      <c r="C19" s="8">
        <v>0</v>
      </c>
      <c r="D19" s="8">
        <v>0</v>
      </c>
      <c r="E19" s="8">
        <v>0</v>
      </c>
      <c r="F19" s="8">
        <v>0</v>
      </c>
      <c r="G19" s="9">
        <v>0</v>
      </c>
      <c r="H19" s="10">
        <v>0</v>
      </c>
      <c r="I19" s="10">
        <v>0</v>
      </c>
      <c r="J19" s="11">
        <v>0</v>
      </c>
      <c r="K19" s="9">
        <v>0</v>
      </c>
      <c r="L19" s="11">
        <v>0</v>
      </c>
    </row>
    <row r="20" spans="2:12" ht="11.25">
      <c r="B20" s="1" t="s">
        <v>20</v>
      </c>
      <c r="C20" s="8">
        <v>38224</v>
      </c>
      <c r="D20" s="8">
        <v>42389</v>
      </c>
      <c r="E20" s="8">
        <v>60828</v>
      </c>
      <c r="F20" s="8">
        <v>69155</v>
      </c>
      <c r="G20" s="9">
        <v>80571</v>
      </c>
      <c r="H20" s="10">
        <v>93030</v>
      </c>
      <c r="I20" s="10">
        <v>86126</v>
      </c>
      <c r="J20" s="11">
        <v>96705</v>
      </c>
      <c r="K20" s="9">
        <v>114524</v>
      </c>
      <c r="L20" s="11">
        <v>112675</v>
      </c>
    </row>
    <row r="21" spans="2:12" ht="11.25">
      <c r="B21" s="1" t="s">
        <v>21</v>
      </c>
      <c r="C21" s="8">
        <v>43271</v>
      </c>
      <c r="D21" s="8">
        <v>46592</v>
      </c>
      <c r="E21" s="8">
        <v>51387</v>
      </c>
      <c r="F21" s="8">
        <v>60531</v>
      </c>
      <c r="G21" s="9">
        <v>82394</v>
      </c>
      <c r="H21" s="10">
        <v>115094</v>
      </c>
      <c r="I21" s="10">
        <v>107156</v>
      </c>
      <c r="J21" s="11">
        <v>100857</v>
      </c>
      <c r="K21" s="9">
        <v>78151</v>
      </c>
      <c r="L21" s="11">
        <v>99944</v>
      </c>
    </row>
    <row r="22" spans="2:12" ht="11.25">
      <c r="B22" s="1" t="s">
        <v>16</v>
      </c>
      <c r="C22" s="8">
        <f aca="true" t="shared" si="3" ref="C22:L22">SUM(C23:C24)</f>
        <v>8402</v>
      </c>
      <c r="D22" s="8">
        <f t="shared" si="3"/>
        <v>12147</v>
      </c>
      <c r="E22" s="8">
        <f t="shared" si="3"/>
        <v>22305</v>
      </c>
      <c r="F22" s="8">
        <f t="shared" si="3"/>
        <v>20477</v>
      </c>
      <c r="G22" s="9">
        <f t="shared" si="3"/>
        <v>27280</v>
      </c>
      <c r="H22" s="10">
        <f t="shared" si="3"/>
        <v>46760</v>
      </c>
      <c r="I22" s="10">
        <f t="shared" si="3"/>
        <v>53904</v>
      </c>
      <c r="J22" s="11">
        <f t="shared" si="3"/>
        <v>31340</v>
      </c>
      <c r="K22" s="9">
        <f t="shared" si="3"/>
        <v>28808</v>
      </c>
      <c r="L22" s="11">
        <f t="shared" si="3"/>
        <v>24637</v>
      </c>
    </row>
    <row r="23" spans="2:12" ht="11.25">
      <c r="B23" s="1" t="s">
        <v>20</v>
      </c>
      <c r="C23" s="8">
        <v>2413</v>
      </c>
      <c r="D23" s="8">
        <v>4369</v>
      </c>
      <c r="E23" s="8">
        <v>7652</v>
      </c>
      <c r="F23" s="8">
        <v>9679</v>
      </c>
      <c r="G23" s="9">
        <v>14351</v>
      </c>
      <c r="H23" s="10">
        <v>14845</v>
      </c>
      <c r="I23" s="10">
        <v>13034</v>
      </c>
      <c r="J23" s="11">
        <v>18406</v>
      </c>
      <c r="K23" s="9">
        <v>12420</v>
      </c>
      <c r="L23" s="11">
        <v>15913</v>
      </c>
    </row>
    <row r="24" spans="2:12" ht="11.25">
      <c r="B24" s="1" t="s">
        <v>21</v>
      </c>
      <c r="C24" s="8">
        <v>5989</v>
      </c>
      <c r="D24" s="8">
        <v>7778</v>
      </c>
      <c r="E24" s="8">
        <v>14653</v>
      </c>
      <c r="F24" s="8">
        <v>10798</v>
      </c>
      <c r="G24" s="9">
        <v>12929</v>
      </c>
      <c r="H24" s="10">
        <v>31915</v>
      </c>
      <c r="I24" s="10">
        <v>40870</v>
      </c>
      <c r="J24" s="11">
        <v>12934</v>
      </c>
      <c r="K24" s="9">
        <v>16388</v>
      </c>
      <c r="L24" s="11">
        <v>8724</v>
      </c>
    </row>
    <row r="25" spans="1:12" ht="11.25">
      <c r="A25" s="2" t="s">
        <v>22</v>
      </c>
      <c r="B25" s="2"/>
      <c r="C25" s="12">
        <v>-986</v>
      </c>
      <c r="D25" s="12">
        <v>16578</v>
      </c>
      <c r="E25" s="12">
        <v>21618</v>
      </c>
      <c r="F25" s="12">
        <v>39596</v>
      </c>
      <c r="G25" s="13">
        <v>46622</v>
      </c>
      <c r="H25" s="12">
        <v>49998</v>
      </c>
      <c r="I25" s="12">
        <v>49822</v>
      </c>
      <c r="J25" s="14">
        <v>48758</v>
      </c>
      <c r="K25" s="13">
        <v>47250</v>
      </c>
      <c r="L25" s="14">
        <v>34306</v>
      </c>
    </row>
    <row r="26" spans="1:12" ht="11.25">
      <c r="A26" s="4" t="s">
        <v>23</v>
      </c>
      <c r="C26" s="8"/>
      <c r="D26" s="8"/>
      <c r="E26" s="8"/>
      <c r="F26" s="8"/>
      <c r="G26" s="9"/>
      <c r="H26" s="10"/>
      <c r="I26" s="10"/>
      <c r="J26" s="11"/>
      <c r="K26" s="9"/>
      <c r="L26" s="11"/>
    </row>
    <row r="27" spans="1:12" ht="11.25">
      <c r="A27" s="1" t="s">
        <v>12</v>
      </c>
      <c r="C27" s="8">
        <f>(C11+G11)/2</f>
        <v>278119.5</v>
      </c>
      <c r="D27" s="8">
        <f>(D11+H11)/2</f>
        <v>304293</v>
      </c>
      <c r="E27" s="8">
        <f>(E11+I11)/2</f>
        <v>343044</v>
      </c>
      <c r="F27" s="8">
        <f>+(F11+J11)/2</f>
        <v>327428</v>
      </c>
      <c r="G27" s="9">
        <f>+(G11+K11)/2</f>
        <v>415013.5</v>
      </c>
      <c r="H27" s="10">
        <v>436851</v>
      </c>
      <c r="I27" s="10">
        <v>391678</v>
      </c>
      <c r="J27" s="11">
        <v>378256</v>
      </c>
      <c r="K27" s="9">
        <f>(K11+L11)/2</f>
        <v>368825</v>
      </c>
      <c r="L27" s="11">
        <v>313048</v>
      </c>
    </row>
    <row r="28" spans="1:12" ht="11.25">
      <c r="A28" s="1" t="s">
        <v>24</v>
      </c>
      <c r="C28" s="8">
        <f aca="true" t="shared" si="4" ref="C28:L28">C29+C30</f>
        <v>255675</v>
      </c>
      <c r="D28" s="8">
        <f t="shared" si="4"/>
        <v>272013</v>
      </c>
      <c r="E28" s="8">
        <f t="shared" si="4"/>
        <v>306805.5</v>
      </c>
      <c r="F28" s="8">
        <f t="shared" si="4"/>
        <v>298334.5</v>
      </c>
      <c r="G28" s="9">
        <f t="shared" si="4"/>
        <v>383289</v>
      </c>
      <c r="H28" s="10">
        <f t="shared" si="4"/>
        <v>398816</v>
      </c>
      <c r="I28" s="10">
        <f t="shared" si="4"/>
        <v>340632</v>
      </c>
      <c r="J28" s="11">
        <f t="shared" si="4"/>
        <v>336506</v>
      </c>
      <c r="K28" s="9">
        <f t="shared" si="4"/>
        <v>328517.5</v>
      </c>
      <c r="L28" s="11">
        <f t="shared" si="4"/>
        <v>280662</v>
      </c>
    </row>
    <row r="29" spans="2:12" ht="11.25">
      <c r="B29" s="1" t="s">
        <v>14</v>
      </c>
      <c r="C29" s="8">
        <f>(C13+G13)/2</f>
        <v>85592</v>
      </c>
      <c r="D29" s="8">
        <f>(D13+H13)/2</f>
        <v>83994.5</v>
      </c>
      <c r="E29" s="8">
        <f>(E13+I13)/2</f>
        <v>92617</v>
      </c>
      <c r="F29" s="8">
        <f>+(F13+J13)/2</f>
        <v>94459.5</v>
      </c>
      <c r="G29" s="9">
        <f>+(G13+K13)/2</f>
        <v>94795.5</v>
      </c>
      <c r="H29" s="10">
        <v>87146</v>
      </c>
      <c r="I29" s="10">
        <v>88468</v>
      </c>
      <c r="J29" s="11">
        <v>87695</v>
      </c>
      <c r="K29" s="9">
        <f>(K13+L13)/2</f>
        <v>95020.5</v>
      </c>
      <c r="L29" s="11">
        <v>84687</v>
      </c>
    </row>
    <row r="30" spans="2:12" ht="11.25">
      <c r="B30" s="1" t="s">
        <v>17</v>
      </c>
      <c r="C30" s="8">
        <f>(C16+G16)/2</f>
        <v>170083</v>
      </c>
      <c r="D30" s="8">
        <f>(D16+H16)/2</f>
        <v>188018.5</v>
      </c>
      <c r="E30" s="8">
        <f>(E16+I16)/2</f>
        <v>214188.5</v>
      </c>
      <c r="F30" s="8">
        <f>+(F16+J16)/2</f>
        <v>203875</v>
      </c>
      <c r="G30" s="9">
        <f>+(G16+K16)/2</f>
        <v>288493.5</v>
      </c>
      <c r="H30" s="10">
        <v>311670</v>
      </c>
      <c r="I30" s="10">
        <v>252164</v>
      </c>
      <c r="J30" s="11">
        <v>248811</v>
      </c>
      <c r="K30" s="9">
        <f>(K16+L16)/2</f>
        <v>233497</v>
      </c>
      <c r="L30" s="11">
        <v>195975</v>
      </c>
    </row>
    <row r="31" spans="1:12" ht="11.25">
      <c r="A31" s="2" t="s">
        <v>22</v>
      </c>
      <c r="B31" s="2"/>
      <c r="C31" s="12">
        <f>(C25+G25)/2</f>
        <v>22818</v>
      </c>
      <c r="D31" s="12">
        <f>(D25+H25)/2</f>
        <v>33288</v>
      </c>
      <c r="E31" s="12">
        <f>(E25+I25)/2</f>
        <v>35720</v>
      </c>
      <c r="F31" s="12">
        <f>+(F25+J25)/2</f>
        <v>44177</v>
      </c>
      <c r="G31" s="13">
        <f>+(G25+K25)/2</f>
        <v>46936</v>
      </c>
      <c r="H31" s="12">
        <v>49626</v>
      </c>
      <c r="I31" s="12">
        <v>48908</v>
      </c>
      <c r="J31" s="14">
        <v>44961</v>
      </c>
      <c r="K31" s="13">
        <f>(K25+L25)/2</f>
        <v>40778</v>
      </c>
      <c r="L31" s="14">
        <v>32098</v>
      </c>
    </row>
    <row r="32" spans="1:12" ht="11.25">
      <c r="A32" s="4" t="s">
        <v>25</v>
      </c>
      <c r="C32" s="8"/>
      <c r="D32" s="8"/>
      <c r="E32" s="8"/>
      <c r="F32" s="8"/>
      <c r="G32" s="15"/>
      <c r="H32" s="16"/>
      <c r="I32" s="16"/>
      <c r="J32" s="17"/>
      <c r="K32" s="15"/>
      <c r="L32" s="17"/>
    </row>
    <row r="33" spans="1:12" ht="11.25">
      <c r="A33" s="1" t="s">
        <v>26</v>
      </c>
      <c r="C33" s="8">
        <v>16003</v>
      </c>
      <c r="D33" s="8">
        <v>14109</v>
      </c>
      <c r="E33" s="8">
        <v>11862</v>
      </c>
      <c r="F33" s="8">
        <v>6638</v>
      </c>
      <c r="G33" s="9">
        <v>30515</v>
      </c>
      <c r="H33" s="10">
        <v>23522</v>
      </c>
      <c r="I33" s="10">
        <v>15760</v>
      </c>
      <c r="J33" s="11">
        <v>7622</v>
      </c>
      <c r="K33" s="9">
        <v>31927</v>
      </c>
      <c r="L33" s="11">
        <v>30560</v>
      </c>
    </row>
    <row r="34" spans="1:12" ht="11.25">
      <c r="A34" s="1" t="s">
        <v>27</v>
      </c>
      <c r="C34" s="8">
        <v>14857</v>
      </c>
      <c r="D34" s="8">
        <v>13015</v>
      </c>
      <c r="E34" s="8">
        <v>10396</v>
      </c>
      <c r="F34" s="8">
        <v>5653</v>
      </c>
      <c r="G34" s="9">
        <v>26409</v>
      </c>
      <c r="H34" s="10">
        <v>19451</v>
      </c>
      <c r="I34" s="10">
        <v>12514</v>
      </c>
      <c r="J34" s="11">
        <v>6165</v>
      </c>
      <c r="K34" s="9">
        <v>25039</v>
      </c>
      <c r="L34" s="11">
        <v>25501</v>
      </c>
    </row>
    <row r="35" spans="1:12" ht="11.25">
      <c r="A35" s="1" t="s">
        <v>28</v>
      </c>
      <c r="C35" s="8">
        <f aca="true" t="shared" si="5" ref="C35:L35">C33-C34</f>
        <v>1146</v>
      </c>
      <c r="D35" s="8">
        <f t="shared" si="5"/>
        <v>1094</v>
      </c>
      <c r="E35" s="8">
        <f t="shared" si="5"/>
        <v>1466</v>
      </c>
      <c r="F35" s="8">
        <f t="shared" si="5"/>
        <v>985</v>
      </c>
      <c r="G35" s="9">
        <f t="shared" si="5"/>
        <v>4106</v>
      </c>
      <c r="H35" s="10">
        <f t="shared" si="5"/>
        <v>4071</v>
      </c>
      <c r="I35" s="10">
        <f t="shared" si="5"/>
        <v>3246</v>
      </c>
      <c r="J35" s="11">
        <f t="shared" si="5"/>
        <v>1457</v>
      </c>
      <c r="K35" s="9">
        <f t="shared" si="5"/>
        <v>6888</v>
      </c>
      <c r="L35" s="11">
        <f t="shared" si="5"/>
        <v>5059</v>
      </c>
    </row>
    <row r="36" spans="1:12" ht="11.25">
      <c r="A36" s="1" t="s">
        <v>29</v>
      </c>
      <c r="C36" s="8">
        <v>7699</v>
      </c>
      <c r="D36" s="8">
        <v>7560</v>
      </c>
      <c r="E36" s="8">
        <v>4699</v>
      </c>
      <c r="F36" s="8">
        <v>3814</v>
      </c>
      <c r="G36" s="9">
        <v>4775</v>
      </c>
      <c r="H36" s="10">
        <v>2969</v>
      </c>
      <c r="I36" s="10">
        <v>2215</v>
      </c>
      <c r="J36" s="11">
        <v>1439</v>
      </c>
      <c r="K36" s="9">
        <v>4553</v>
      </c>
      <c r="L36" s="11">
        <v>8932</v>
      </c>
    </row>
    <row r="37" spans="1:12" ht="11.25">
      <c r="A37" s="1" t="s">
        <v>30</v>
      </c>
      <c r="C37" s="8">
        <f aca="true" t="shared" si="6" ref="C37:L37">C35+C36</f>
        <v>8845</v>
      </c>
      <c r="D37" s="8">
        <f t="shared" si="6"/>
        <v>8654</v>
      </c>
      <c r="E37" s="8">
        <f t="shared" si="6"/>
        <v>6165</v>
      </c>
      <c r="F37" s="8">
        <f t="shared" si="6"/>
        <v>4799</v>
      </c>
      <c r="G37" s="9">
        <f t="shared" si="6"/>
        <v>8881</v>
      </c>
      <c r="H37" s="10">
        <f t="shared" si="6"/>
        <v>7040</v>
      </c>
      <c r="I37" s="10">
        <f t="shared" si="6"/>
        <v>5461</v>
      </c>
      <c r="J37" s="11">
        <f t="shared" si="6"/>
        <v>2896</v>
      </c>
      <c r="K37" s="9">
        <f t="shared" si="6"/>
        <v>11441</v>
      </c>
      <c r="L37" s="11">
        <f t="shared" si="6"/>
        <v>13991</v>
      </c>
    </row>
    <row r="38" spans="1:12" ht="11.25">
      <c r="A38" s="1" t="s">
        <v>31</v>
      </c>
      <c r="C38" s="8">
        <v>26526</v>
      </c>
      <c r="D38" s="8">
        <v>24137</v>
      </c>
      <c r="E38" s="8">
        <v>8841</v>
      </c>
      <c r="F38" s="8">
        <v>1550</v>
      </c>
      <c r="G38" s="9">
        <v>6436</v>
      </c>
      <c r="H38" s="10">
        <v>3322</v>
      </c>
      <c r="I38" s="10">
        <v>2461</v>
      </c>
      <c r="J38" s="11">
        <v>1656</v>
      </c>
      <c r="K38" s="9">
        <v>8370</v>
      </c>
      <c r="L38" s="11">
        <v>3524</v>
      </c>
    </row>
    <row r="39" spans="1:12" ht="11.25">
      <c r="A39" s="1" t="s">
        <v>32</v>
      </c>
      <c r="C39" s="8">
        <f aca="true" t="shared" si="7" ref="C39:L39">C37-C38</f>
        <v>-17681</v>
      </c>
      <c r="D39" s="8">
        <f t="shared" si="7"/>
        <v>-15483</v>
      </c>
      <c r="E39" s="8">
        <f t="shared" si="7"/>
        <v>-2676</v>
      </c>
      <c r="F39" s="8">
        <f t="shared" si="7"/>
        <v>3249</v>
      </c>
      <c r="G39" s="9">
        <f t="shared" si="7"/>
        <v>2445</v>
      </c>
      <c r="H39" s="10">
        <f t="shared" si="7"/>
        <v>3718</v>
      </c>
      <c r="I39" s="10">
        <f t="shared" si="7"/>
        <v>3000</v>
      </c>
      <c r="J39" s="11">
        <f t="shared" si="7"/>
        <v>1240</v>
      </c>
      <c r="K39" s="9">
        <f t="shared" si="7"/>
        <v>3071</v>
      </c>
      <c r="L39" s="11">
        <f t="shared" si="7"/>
        <v>10467</v>
      </c>
    </row>
    <row r="40" spans="1:12" ht="11.25">
      <c r="A40" s="2" t="s">
        <v>33</v>
      </c>
      <c r="B40" s="2"/>
      <c r="C40" s="12">
        <v>-37283</v>
      </c>
      <c r="D40" s="12">
        <v>-25225</v>
      </c>
      <c r="E40" s="12">
        <v>-7196</v>
      </c>
      <c r="F40" s="12">
        <v>3249</v>
      </c>
      <c r="G40" s="13">
        <v>690</v>
      </c>
      <c r="H40" s="12">
        <v>3528</v>
      </c>
      <c r="I40" s="12">
        <v>2815</v>
      </c>
      <c r="J40" s="14">
        <v>1210</v>
      </c>
      <c r="K40" s="13">
        <v>4485</v>
      </c>
      <c r="L40" s="14">
        <v>6198</v>
      </c>
    </row>
    <row r="41" spans="1:12" ht="11.25">
      <c r="A41" s="4" t="s">
        <v>34</v>
      </c>
      <c r="C41" s="8"/>
      <c r="D41" s="8"/>
      <c r="E41" s="8"/>
      <c r="F41" s="8"/>
      <c r="G41" s="15"/>
      <c r="H41" s="16"/>
      <c r="I41" s="16"/>
      <c r="J41" s="17"/>
      <c r="K41" s="15"/>
      <c r="L41" s="17"/>
    </row>
    <row r="42" spans="1:12" ht="11.25">
      <c r="A42" s="1" t="s">
        <v>35</v>
      </c>
      <c r="C42" s="8">
        <v>27300</v>
      </c>
      <c r="D42" s="8">
        <v>20374</v>
      </c>
      <c r="E42" s="8">
        <v>20710</v>
      </c>
      <c r="F42" s="8">
        <v>13598</v>
      </c>
      <c r="G42" s="9">
        <v>9967</v>
      </c>
      <c r="H42" s="10">
        <v>11570</v>
      </c>
      <c r="I42" s="10">
        <v>11170</v>
      </c>
      <c r="J42" s="11">
        <v>10724</v>
      </c>
      <c r="K42" s="9">
        <v>10162</v>
      </c>
      <c r="L42" s="11">
        <v>950</v>
      </c>
    </row>
    <row r="43" spans="1:12" ht="11.25">
      <c r="A43" s="1" t="s">
        <v>36</v>
      </c>
      <c r="C43" s="8">
        <v>28594</v>
      </c>
      <c r="D43" s="8">
        <v>18754</v>
      </c>
      <c r="E43" s="8">
        <v>10537</v>
      </c>
      <c r="F43" s="8">
        <v>5990</v>
      </c>
      <c r="G43" s="9">
        <v>2018</v>
      </c>
      <c r="H43" s="10">
        <v>880</v>
      </c>
      <c r="I43" s="10">
        <v>0</v>
      </c>
      <c r="J43" s="11">
        <v>799</v>
      </c>
      <c r="K43" s="9">
        <v>768</v>
      </c>
      <c r="L43" s="11">
        <v>941</v>
      </c>
    </row>
    <row r="44" spans="1:12" ht="11.25">
      <c r="A44" s="1" t="s">
        <v>37</v>
      </c>
      <c r="C44" s="18">
        <f aca="true" t="shared" si="8" ref="C44:L44">C42/C13</f>
        <v>0.34126706335316764</v>
      </c>
      <c r="D44" s="18">
        <f t="shared" si="8"/>
        <v>0.24734433234997755</v>
      </c>
      <c r="E44" s="18">
        <f t="shared" si="8"/>
        <v>0.20618454063956035</v>
      </c>
      <c r="F44" s="18">
        <f t="shared" si="8"/>
        <v>0.1312814373569932</v>
      </c>
      <c r="G44" s="19">
        <f t="shared" si="8"/>
        <v>0.10930166249945168</v>
      </c>
      <c r="H44" s="20">
        <f t="shared" si="8"/>
        <v>0.13513513513513514</v>
      </c>
      <c r="I44" s="20">
        <f t="shared" si="8"/>
        <v>0.13173723316428823</v>
      </c>
      <c r="J44" s="21">
        <f t="shared" si="8"/>
        <v>0.12566205765174596</v>
      </c>
      <c r="K44" s="19">
        <f t="shared" si="8"/>
        <v>0.10326920927207504</v>
      </c>
      <c r="L44" s="21">
        <f t="shared" si="8"/>
        <v>0.01036687836923547</v>
      </c>
    </row>
    <row r="45" spans="1:12" ht="11.25">
      <c r="A45" s="1" t="s">
        <v>38</v>
      </c>
      <c r="C45" s="18">
        <f aca="true" t="shared" si="9" ref="C45:L45">C43/C42</f>
        <v>1.0473992673992674</v>
      </c>
      <c r="D45" s="18">
        <f t="shared" si="9"/>
        <v>0.9204868950623344</v>
      </c>
      <c r="E45" s="18">
        <f t="shared" si="9"/>
        <v>0.5087880251086432</v>
      </c>
      <c r="F45" s="18">
        <f t="shared" si="9"/>
        <v>0.4405059567583468</v>
      </c>
      <c r="G45" s="19">
        <f t="shared" si="9"/>
        <v>0.20246814487809772</v>
      </c>
      <c r="H45" s="20">
        <f t="shared" si="9"/>
        <v>0.07605877268798616</v>
      </c>
      <c r="I45" s="20">
        <f t="shared" si="9"/>
        <v>0</v>
      </c>
      <c r="J45" s="21">
        <f t="shared" si="9"/>
        <v>0.07450578142484147</v>
      </c>
      <c r="K45" s="19">
        <f t="shared" si="9"/>
        <v>0.07557567407990554</v>
      </c>
      <c r="L45" s="21">
        <f t="shared" si="9"/>
        <v>0.9905263157894737</v>
      </c>
    </row>
    <row r="46" spans="1:12" ht="11.25">
      <c r="A46" s="2" t="s">
        <v>39</v>
      </c>
      <c r="B46" s="2"/>
      <c r="C46" s="22">
        <f aca="true" t="shared" si="10" ref="C46:L46">C43/C13</f>
        <v>0.3574428721436072</v>
      </c>
      <c r="D46" s="22">
        <f t="shared" si="10"/>
        <v>0.22767721649609693</v>
      </c>
      <c r="E46" s="22">
        <f t="shared" si="10"/>
        <v>0.10490422523993469</v>
      </c>
      <c r="F46" s="22">
        <f t="shared" si="10"/>
        <v>0.05783025516755327</v>
      </c>
      <c r="G46" s="23">
        <f t="shared" si="10"/>
        <v>0.022130104838355924</v>
      </c>
      <c r="H46" s="22">
        <f t="shared" si="10"/>
        <v>0.010278212525403537</v>
      </c>
      <c r="I46" s="22">
        <f t="shared" si="10"/>
        <v>0</v>
      </c>
      <c r="J46" s="24">
        <f t="shared" si="10"/>
        <v>0.009362549800796812</v>
      </c>
      <c r="K46" s="23">
        <f t="shared" si="10"/>
        <v>0.007804640102435902</v>
      </c>
      <c r="L46" s="24">
        <f t="shared" si="10"/>
        <v>0.010268665837316397</v>
      </c>
    </row>
    <row r="47" spans="1:12" ht="11.25">
      <c r="A47" s="4" t="s">
        <v>40</v>
      </c>
      <c r="G47" s="15"/>
      <c r="H47" s="16"/>
      <c r="I47" s="16"/>
      <c r="J47" s="17"/>
      <c r="K47" s="15"/>
      <c r="L47" s="17"/>
    </row>
    <row r="48" spans="1:12" ht="11.25">
      <c r="A48" s="1" t="s">
        <v>41</v>
      </c>
      <c r="C48" s="18">
        <f aca="true" t="shared" si="11" ref="C48:L48">C25/(C13+C16)</f>
        <v>-0.007685652150189803</v>
      </c>
      <c r="D48" s="18">
        <f t="shared" si="11"/>
        <v>0.11753445635528331</v>
      </c>
      <c r="E48" s="18">
        <f t="shared" si="11"/>
        <v>0.09502835289463273</v>
      </c>
      <c r="F48" s="18">
        <f t="shared" si="11"/>
        <v>0.18636656735525714</v>
      </c>
      <c r="G48" s="19">
        <f t="shared" si="11"/>
        <v>0.12170971051456825</v>
      </c>
      <c r="H48" s="20">
        <f t="shared" si="11"/>
        <v>0.12407128925152242</v>
      </c>
      <c r="I48" s="20">
        <f t="shared" si="11"/>
        <v>0.12903209097666277</v>
      </c>
      <c r="J48" s="21">
        <f t="shared" si="11"/>
        <v>0.12690587861720015</v>
      </c>
      <c r="K48" s="19">
        <f t="shared" si="11"/>
        <v>0.12320119733311778</v>
      </c>
      <c r="L48" s="21">
        <f t="shared" si="11"/>
        <v>0.12542593486304274</v>
      </c>
    </row>
    <row r="49" spans="1:12" ht="11.25">
      <c r="A49" s="2" t="s">
        <v>42</v>
      </c>
      <c r="B49" s="2"/>
      <c r="C49" s="22">
        <f aca="true" t="shared" si="12" ref="C49:L49">C25/C13</f>
        <v>-0.012325616280814041</v>
      </c>
      <c r="D49" s="22">
        <f t="shared" si="12"/>
        <v>0.20126015223804494</v>
      </c>
      <c r="E49" s="22">
        <f t="shared" si="12"/>
        <v>0.21522440364780376</v>
      </c>
      <c r="F49" s="22">
        <f t="shared" si="12"/>
        <v>0.382278261037469</v>
      </c>
      <c r="G49" s="23">
        <f t="shared" si="12"/>
        <v>0.5112734131683994</v>
      </c>
      <c r="H49" s="22">
        <f t="shared" si="12"/>
        <v>0.5839659884603705</v>
      </c>
      <c r="I49" s="22">
        <f t="shared" si="12"/>
        <v>0.5875928765184574</v>
      </c>
      <c r="J49" s="24">
        <f t="shared" si="12"/>
        <v>0.5713381767049449</v>
      </c>
      <c r="K49" s="23">
        <f t="shared" si="12"/>
        <v>0.48016828755220875</v>
      </c>
      <c r="L49" s="24">
        <f t="shared" si="12"/>
        <v>0.3743643466684127</v>
      </c>
    </row>
    <row r="50" spans="1:12" ht="11.25">
      <c r="A50" s="4" t="s">
        <v>43</v>
      </c>
      <c r="G50" s="15"/>
      <c r="H50" s="16"/>
      <c r="I50" s="16"/>
      <c r="J50" s="17"/>
      <c r="K50" s="15"/>
      <c r="L50" s="17"/>
    </row>
    <row r="51" spans="1:12" ht="11.25">
      <c r="A51" s="1" t="s">
        <v>44</v>
      </c>
      <c r="C51" s="25">
        <f aca="true" t="shared" si="13" ref="C51:L51">C12/C17</f>
        <v>0.04362770726498103</v>
      </c>
      <c r="D51" s="25">
        <f t="shared" si="13"/>
        <v>0.06353334388102207</v>
      </c>
      <c r="E51" s="25">
        <f t="shared" si="13"/>
        <v>0.038737734165923285</v>
      </c>
      <c r="F51" s="25">
        <f t="shared" si="13"/>
        <v>0.09812670231681572</v>
      </c>
      <c r="G51" s="26">
        <f t="shared" si="13"/>
        <v>0.09608662514126522</v>
      </c>
      <c r="H51" s="27">
        <f t="shared" si="13"/>
        <v>0.13081637136893645</v>
      </c>
      <c r="I51" s="27">
        <f t="shared" si="13"/>
        <v>0.1758797019248663</v>
      </c>
      <c r="J51" s="28">
        <f t="shared" si="13"/>
        <v>0.07838288874714944</v>
      </c>
      <c r="K51" s="26">
        <f t="shared" si="13"/>
        <v>0.054667852611712864</v>
      </c>
      <c r="L51" s="28">
        <f t="shared" si="13"/>
        <v>0.15968405435478977</v>
      </c>
    </row>
    <row r="52" spans="1:12" ht="11.25">
      <c r="A52" s="1" t="s">
        <v>45</v>
      </c>
      <c r="C52" s="25">
        <f aca="true" t="shared" si="14" ref="C52:L52">C12/C11</f>
        <v>0.027893744888161872</v>
      </c>
      <c r="D52" s="25">
        <f t="shared" si="14"/>
        <v>0.04010561665896805</v>
      </c>
      <c r="E52" s="25">
        <f t="shared" si="14"/>
        <v>0.02136925632035431</v>
      </c>
      <c r="F52" s="25">
        <f t="shared" si="14"/>
        <v>0.06200503278040077</v>
      </c>
      <c r="G52" s="26">
        <f t="shared" si="14"/>
        <v>0.04398100251663723</v>
      </c>
      <c r="H52" s="27">
        <f t="shared" si="14"/>
        <v>0.07436259991435912</v>
      </c>
      <c r="I52" s="27">
        <f t="shared" si="14"/>
        <v>0.09830790556109562</v>
      </c>
      <c r="J52" s="28">
        <f t="shared" si="14"/>
        <v>0.04300430953898959</v>
      </c>
      <c r="K52" s="26">
        <f t="shared" si="14"/>
        <v>0.02921864027625949</v>
      </c>
      <c r="L52" s="28">
        <f t="shared" si="14"/>
        <v>0.11720086494646674</v>
      </c>
    </row>
    <row r="53" spans="1:12" ht="11.25">
      <c r="A53" s="2" t="s">
        <v>46</v>
      </c>
      <c r="B53" s="2"/>
      <c r="C53" s="29">
        <f aca="true" t="shared" si="15" ref="C53:L53">(C12+C16)/C17</f>
        <v>0.5808536436143587</v>
      </c>
      <c r="D53" s="29">
        <f t="shared" si="15"/>
        <v>0.6437584051894628</v>
      </c>
      <c r="E53" s="29">
        <f t="shared" si="15"/>
        <v>0.9831772227178115</v>
      </c>
      <c r="F53" s="29">
        <f t="shared" si="15"/>
        <v>0.8232320877979262</v>
      </c>
      <c r="G53" s="30">
        <f t="shared" si="15"/>
        <v>1.6302714920234433</v>
      </c>
      <c r="H53" s="29">
        <f t="shared" si="15"/>
        <v>1.3759317964250404</v>
      </c>
      <c r="I53" s="29">
        <f t="shared" si="15"/>
        <v>1.3949252789397457</v>
      </c>
      <c r="J53" s="31">
        <f t="shared" si="15"/>
        <v>1.3840333417794515</v>
      </c>
      <c r="K53" s="30">
        <f t="shared" si="15"/>
        <v>1.3419720700911582</v>
      </c>
      <c r="L53" s="31">
        <f t="shared" si="15"/>
        <v>0.926273729642243</v>
      </c>
    </row>
    <row r="54" spans="1:12" ht="11.25">
      <c r="A54" s="4" t="s">
        <v>47</v>
      </c>
      <c r="G54" s="15"/>
      <c r="H54" s="16"/>
      <c r="I54" s="16"/>
      <c r="J54" s="17"/>
      <c r="K54" s="15"/>
      <c r="L54" s="17"/>
    </row>
    <row r="55" spans="1:12" ht="11.25">
      <c r="A55" s="1" t="s">
        <v>48</v>
      </c>
      <c r="B55" s="16"/>
      <c r="C55" s="20">
        <f>(C40)/C28</f>
        <v>-0.1458218441380659</v>
      </c>
      <c r="D55" s="18">
        <f>((D40)/0.75)/D28</f>
        <v>-0.12364605123039464</v>
      </c>
      <c r="E55" s="18">
        <f>((E40)/0.5)/E28</f>
        <v>-0.04690919817278373</v>
      </c>
      <c r="F55" s="18">
        <f>((F40)/0.25)/F28</f>
        <v>0.04356184081961691</v>
      </c>
      <c r="G55" s="19">
        <f>(G40)/G28</f>
        <v>0.0018002081979915938</v>
      </c>
      <c r="H55" s="20">
        <f>((H40)/0.75)/H28</f>
        <v>0.011794912942309235</v>
      </c>
      <c r="I55" s="20">
        <f>((I40)/0.5)/I28</f>
        <v>0.01652810070692125</v>
      </c>
      <c r="J55" s="21">
        <f>((J40)/0.25)/J28</f>
        <v>0.01438310163860377</v>
      </c>
      <c r="K55" s="19">
        <f>K40/K28</f>
        <v>0.013652240748209761</v>
      </c>
      <c r="L55" s="21">
        <f>L40/L28</f>
        <v>0.022083502576052332</v>
      </c>
    </row>
    <row r="56" spans="1:12" ht="11.25">
      <c r="A56" s="1" t="s">
        <v>49</v>
      </c>
      <c r="B56" s="16"/>
      <c r="C56" s="20">
        <f>(C40)/C27</f>
        <v>-0.13405388690832537</v>
      </c>
      <c r="D56" s="18">
        <f>((D40)/0.75)/D27</f>
        <v>-0.11052943489772468</v>
      </c>
      <c r="E56" s="18">
        <f>((E40)/0.5)/E27</f>
        <v>-0.041953801844661326</v>
      </c>
      <c r="F56" s="18">
        <f>((F40)/0.25)/F27</f>
        <v>0.03969116874549519</v>
      </c>
      <c r="G56" s="19">
        <f>(G40)/G27</f>
        <v>0.001662596517944597</v>
      </c>
      <c r="H56" s="20">
        <f>((H40)/0.75)/H27</f>
        <v>0.010767973519575324</v>
      </c>
      <c r="I56" s="20">
        <f>((I40)/0.5)/I27</f>
        <v>0.014374052155086576</v>
      </c>
      <c r="J56" s="21">
        <f>((J40)/0.25)/J27</f>
        <v>0.012795567023391565</v>
      </c>
      <c r="K56" s="19">
        <f>K40/K27</f>
        <v>0.01216023859553989</v>
      </c>
      <c r="L56" s="21">
        <f>L40/L27</f>
        <v>0.019798880682834582</v>
      </c>
    </row>
    <row r="57" spans="1:12" ht="11.25">
      <c r="A57" s="1" t="s">
        <v>50</v>
      </c>
      <c r="B57" s="16"/>
      <c r="C57" s="20">
        <f>(C40)/C31</f>
        <v>-1.6339293540187572</v>
      </c>
      <c r="D57" s="18">
        <f>((D40)/0.75)/D31</f>
        <v>-1.0103741087879516</v>
      </c>
      <c r="E57" s="18">
        <f>((E40)/0.5)/E31</f>
        <v>-0.4029115341545353</v>
      </c>
      <c r="F57" s="18">
        <f>((F40)/0.25)/F31</f>
        <v>0.29418022953120404</v>
      </c>
      <c r="G57" s="19">
        <f>(G40)/G31</f>
        <v>0.014700869268791546</v>
      </c>
      <c r="H57" s="20">
        <f>((H40)/0.75)/H31</f>
        <v>0.09478902188369</v>
      </c>
      <c r="I57" s="20">
        <f>((I40)/0.5)/I31</f>
        <v>0.11511409176412857</v>
      </c>
      <c r="J57" s="21">
        <f>((J40)/0.25)/J31</f>
        <v>0.10764885122661863</v>
      </c>
      <c r="K57" s="19">
        <f>K40/K31</f>
        <v>0.10998577664426896</v>
      </c>
      <c r="L57" s="21">
        <f>L40/L31</f>
        <v>0.193096143061873</v>
      </c>
    </row>
    <row r="58" spans="1:12" ht="11.25">
      <c r="A58" s="1" t="s">
        <v>51</v>
      </c>
      <c r="B58" s="16"/>
      <c r="C58" s="20">
        <f aca="true" t="shared" si="16" ref="C58:L58">(C33)/C28</f>
        <v>0.06259118020925003</v>
      </c>
      <c r="D58" s="20">
        <f t="shared" si="16"/>
        <v>0.05186884450375533</v>
      </c>
      <c r="E58" s="20">
        <f t="shared" si="16"/>
        <v>0.03866293140116458</v>
      </c>
      <c r="F58" s="21">
        <f t="shared" si="16"/>
        <v>0.022250192317683673</v>
      </c>
      <c r="G58" s="20">
        <f t="shared" si="16"/>
        <v>0.07961355530683113</v>
      </c>
      <c r="H58" s="20">
        <f t="shared" si="16"/>
        <v>0.05897957955548423</v>
      </c>
      <c r="I58" s="20">
        <f t="shared" si="16"/>
        <v>0.04626693910143498</v>
      </c>
      <c r="J58" s="21">
        <f t="shared" si="16"/>
        <v>0.02265041336558635</v>
      </c>
      <c r="K58" s="19">
        <f t="shared" si="16"/>
        <v>0.09718508146445776</v>
      </c>
      <c r="L58" s="21">
        <f t="shared" si="16"/>
        <v>0.10888542089773465</v>
      </c>
    </row>
    <row r="59" spans="1:12" ht="11.25">
      <c r="A59" s="1" t="s">
        <v>52</v>
      </c>
      <c r="B59" s="16"/>
      <c r="C59" s="20">
        <f aca="true" t="shared" si="17" ref="C59:L59">(C34)/C28</f>
        <v>0.05810892734917376</v>
      </c>
      <c r="D59" s="20">
        <f t="shared" si="17"/>
        <v>0.04784697790179146</v>
      </c>
      <c r="E59" s="20">
        <f t="shared" si="17"/>
        <v>0.0338846598251987</v>
      </c>
      <c r="F59" s="21">
        <f t="shared" si="17"/>
        <v>0.018948529251561586</v>
      </c>
      <c r="G59" s="20">
        <f t="shared" si="17"/>
        <v>0.06890101203008696</v>
      </c>
      <c r="H59" s="20">
        <f t="shared" si="17"/>
        <v>0.04877186471956993</v>
      </c>
      <c r="I59" s="20">
        <f t="shared" si="17"/>
        <v>0.03673759364945161</v>
      </c>
      <c r="J59" s="21">
        <f t="shared" si="17"/>
        <v>0.01832062429793228</v>
      </c>
      <c r="K59" s="19">
        <f t="shared" si="17"/>
        <v>0.07621816189396304</v>
      </c>
      <c r="L59" s="21">
        <f t="shared" si="17"/>
        <v>0.09086018057307366</v>
      </c>
    </row>
    <row r="60" spans="1:12" ht="11.25">
      <c r="A60" s="1" t="s">
        <v>53</v>
      </c>
      <c r="B60" s="16"/>
      <c r="C60" s="20">
        <f aca="true" t="shared" si="18" ref="C60:L60">(C35)/C28</f>
        <v>0.004482252860076269</v>
      </c>
      <c r="D60" s="20">
        <f t="shared" si="18"/>
        <v>0.004021866601963877</v>
      </c>
      <c r="E60" s="20">
        <f t="shared" si="18"/>
        <v>0.004778271575965881</v>
      </c>
      <c r="F60" s="21">
        <f t="shared" si="18"/>
        <v>0.0033016630661220877</v>
      </c>
      <c r="G60" s="20">
        <f t="shared" si="18"/>
        <v>0.01071254327674418</v>
      </c>
      <c r="H60" s="20">
        <f t="shared" si="18"/>
        <v>0.010207714835914306</v>
      </c>
      <c r="I60" s="20">
        <f t="shared" si="18"/>
        <v>0.009529345451983372</v>
      </c>
      <c r="J60" s="21">
        <f t="shared" si="18"/>
        <v>0.004329789067654069</v>
      </c>
      <c r="K60" s="19">
        <f t="shared" si="18"/>
        <v>0.02096691957049472</v>
      </c>
      <c r="L60" s="21">
        <f t="shared" si="18"/>
        <v>0.01802524032466098</v>
      </c>
    </row>
    <row r="61" spans="1:12" ht="11.25">
      <c r="A61" s="1" t="s">
        <v>54</v>
      </c>
      <c r="B61" s="16"/>
      <c r="C61" s="20">
        <f>(C38)/(C37)</f>
        <v>2.998982475975127</v>
      </c>
      <c r="D61" s="20">
        <f>(D38/0.75)/(D37/0.75)</f>
        <v>2.7891148601802636</v>
      </c>
      <c r="E61" s="20">
        <f>(E38/0.5)/(E37/0.5)</f>
        <v>1.4340632603406327</v>
      </c>
      <c r="F61" s="21">
        <f>(F38/0.25)/(F37/0.25)</f>
        <v>0.32298395499062305</v>
      </c>
      <c r="G61" s="20">
        <f>(G38)/(G37)</f>
        <v>0.7246931651841009</v>
      </c>
      <c r="H61" s="20">
        <f>((H38)/0.75)/((H37)/0.75)</f>
        <v>0.471875</v>
      </c>
      <c r="I61" s="20">
        <f>((I38)/0.5)/((I37)/0.5)</f>
        <v>0.45065006409082586</v>
      </c>
      <c r="J61" s="21">
        <f>(J38/0.25)/(J37/0.25)</f>
        <v>0.5718232044198895</v>
      </c>
      <c r="K61" s="19">
        <f>K38/K37</f>
        <v>0.7315794073944585</v>
      </c>
      <c r="L61" s="21">
        <f>L38/L37</f>
        <v>0.25187620613251377</v>
      </c>
    </row>
    <row r="62" spans="1:12" ht="11.25">
      <c r="A62" s="2" t="s">
        <v>55</v>
      </c>
      <c r="B62" s="2"/>
      <c r="C62" s="20">
        <f aca="true" t="shared" si="19" ref="C62:L62">(C36)/C28</f>
        <v>0.030112447443042926</v>
      </c>
      <c r="D62" s="20">
        <f t="shared" si="19"/>
        <v>0.027792789315216553</v>
      </c>
      <c r="E62" s="20">
        <f t="shared" si="19"/>
        <v>0.015315892316141659</v>
      </c>
      <c r="F62" s="21">
        <f t="shared" si="19"/>
        <v>0.012784307547400653</v>
      </c>
      <c r="G62" s="20">
        <f t="shared" si="19"/>
        <v>0.012457962529579508</v>
      </c>
      <c r="H62" s="20">
        <f t="shared" si="19"/>
        <v>0.007444535826045094</v>
      </c>
      <c r="I62" s="20">
        <f t="shared" si="19"/>
        <v>0.0065026186617816294</v>
      </c>
      <c r="J62" s="21">
        <f t="shared" si="19"/>
        <v>0.004276298193791493</v>
      </c>
      <c r="K62" s="19">
        <f t="shared" si="19"/>
        <v>0.01385923124338886</v>
      </c>
      <c r="L62" s="24">
        <f t="shared" si="19"/>
        <v>0.03182475718123579</v>
      </c>
    </row>
    <row r="63" spans="1:12" ht="11.25">
      <c r="A63" s="4" t="s">
        <v>56</v>
      </c>
      <c r="B63" s="16"/>
      <c r="G63" s="15"/>
      <c r="H63" s="16"/>
      <c r="I63" s="16"/>
      <c r="J63" s="17"/>
      <c r="K63" s="15"/>
      <c r="L63" s="17"/>
    </row>
    <row r="64" spans="1:12" ht="11.25">
      <c r="A64" s="1" t="s">
        <v>57</v>
      </c>
      <c r="B64" s="16"/>
      <c r="C64" s="8">
        <v>38</v>
      </c>
      <c r="D64" s="8">
        <v>59</v>
      </c>
      <c r="E64" s="8">
        <v>79</v>
      </c>
      <c r="F64" s="8">
        <v>75</v>
      </c>
      <c r="G64" s="9">
        <v>68</v>
      </c>
      <c r="H64" s="10">
        <v>71</v>
      </c>
      <c r="I64" s="10">
        <v>69</v>
      </c>
      <c r="J64" s="11">
        <v>68</v>
      </c>
      <c r="K64" s="9">
        <v>67</v>
      </c>
      <c r="L64" s="11">
        <v>77</v>
      </c>
    </row>
    <row r="65" spans="1:12" ht="11.25">
      <c r="A65" s="1" t="s">
        <v>58</v>
      </c>
      <c r="B65" s="16"/>
      <c r="C65" s="8">
        <v>1</v>
      </c>
      <c r="D65" s="8">
        <v>1</v>
      </c>
      <c r="E65" s="8">
        <v>1</v>
      </c>
      <c r="F65" s="8">
        <v>1</v>
      </c>
      <c r="G65" s="9">
        <v>1</v>
      </c>
      <c r="H65" s="10">
        <v>1</v>
      </c>
      <c r="I65" s="10">
        <v>1</v>
      </c>
      <c r="J65" s="11">
        <v>1</v>
      </c>
      <c r="K65" s="9">
        <v>1</v>
      </c>
      <c r="L65" s="11">
        <v>1</v>
      </c>
    </row>
    <row r="66" spans="1:12" ht="11.25">
      <c r="A66" s="1" t="s">
        <v>59</v>
      </c>
      <c r="B66" s="16"/>
      <c r="C66" s="32">
        <f aca="true" t="shared" si="20" ref="C66:L66">C13/C64</f>
        <v>2105.157894736842</v>
      </c>
      <c r="D66" s="32">
        <f t="shared" si="20"/>
        <v>1396.1186440677966</v>
      </c>
      <c r="E66" s="32">
        <f t="shared" si="20"/>
        <v>1271.4430379746836</v>
      </c>
      <c r="F66" s="32">
        <f t="shared" si="20"/>
        <v>1381.0533333333333</v>
      </c>
      <c r="G66" s="33">
        <f t="shared" si="20"/>
        <v>1341</v>
      </c>
      <c r="H66" s="34">
        <f t="shared" si="20"/>
        <v>1205.887323943662</v>
      </c>
      <c r="I66" s="34">
        <f t="shared" si="20"/>
        <v>1228.840579710145</v>
      </c>
      <c r="J66" s="35">
        <f t="shared" si="20"/>
        <v>1255</v>
      </c>
      <c r="K66" s="33">
        <f t="shared" si="20"/>
        <v>1468.7014925373135</v>
      </c>
      <c r="L66" s="35">
        <f t="shared" si="20"/>
        <v>1190.1038961038962</v>
      </c>
    </row>
    <row r="67" spans="1:12" ht="11.25">
      <c r="A67" s="1" t="s">
        <v>60</v>
      </c>
      <c r="B67" s="16"/>
      <c r="C67" s="32">
        <f aca="true" t="shared" si="21" ref="C67:L67">C17/C64</f>
        <v>2365.7105263157896</v>
      </c>
      <c r="D67" s="32">
        <f t="shared" si="21"/>
        <v>1714.0338983050847</v>
      </c>
      <c r="E67" s="32">
        <f t="shared" si="21"/>
        <v>1702.7848101265822</v>
      </c>
      <c r="F67" s="32">
        <f t="shared" si="21"/>
        <v>2002.1733333333334</v>
      </c>
      <c r="G67" s="33">
        <f t="shared" si="21"/>
        <v>2797.720588235294</v>
      </c>
      <c r="H67" s="34">
        <f t="shared" si="21"/>
        <v>3589.9154929577467</v>
      </c>
      <c r="I67" s="34">
        <f t="shared" si="21"/>
        <v>3582.4057971014495</v>
      </c>
      <c r="J67" s="35">
        <f t="shared" si="21"/>
        <v>3366.205882352941</v>
      </c>
      <c r="K67" s="33">
        <f t="shared" si="21"/>
        <v>3305.716417910448</v>
      </c>
      <c r="L67" s="35">
        <f t="shared" si="21"/>
        <v>3081.246753246753</v>
      </c>
    </row>
    <row r="68" spans="1:12" ht="11.25">
      <c r="A68" s="2" t="s">
        <v>61</v>
      </c>
      <c r="B68" s="2"/>
      <c r="C68" s="36">
        <f aca="true" t="shared" si="22" ref="C68:L68">C40/C64</f>
        <v>-981.1315789473684</v>
      </c>
      <c r="D68" s="36">
        <f t="shared" si="22"/>
        <v>-427.54237288135596</v>
      </c>
      <c r="E68" s="36">
        <f t="shared" si="22"/>
        <v>-91.0886075949367</v>
      </c>
      <c r="F68" s="36">
        <f t="shared" si="22"/>
        <v>43.32</v>
      </c>
      <c r="G68" s="37">
        <f t="shared" si="22"/>
        <v>10.147058823529411</v>
      </c>
      <c r="H68" s="36">
        <f t="shared" si="22"/>
        <v>49.690140845070424</v>
      </c>
      <c r="I68" s="36">
        <f t="shared" si="22"/>
        <v>40.79710144927536</v>
      </c>
      <c r="J68" s="38">
        <f t="shared" si="22"/>
        <v>17.794117647058822</v>
      </c>
      <c r="K68" s="37">
        <f t="shared" si="22"/>
        <v>66.94029850746269</v>
      </c>
      <c r="L68" s="38">
        <f t="shared" si="22"/>
        <v>80.49350649350649</v>
      </c>
    </row>
    <row r="69" spans="1:12" ht="11.25">
      <c r="A69" s="4" t="s">
        <v>62</v>
      </c>
      <c r="B69" s="16"/>
      <c r="G69" s="15"/>
      <c r="H69" s="16"/>
      <c r="I69" s="16"/>
      <c r="J69" s="17"/>
      <c r="K69" s="15"/>
      <c r="L69" s="17"/>
    </row>
    <row r="70" spans="1:12" ht="11.25">
      <c r="A70" s="1" t="s">
        <v>63</v>
      </c>
      <c r="B70" s="16"/>
      <c r="C70" s="18">
        <f>(C11-G11)/G11</f>
        <v>-0.6617095810256138</v>
      </c>
      <c r="D70" s="18">
        <f>(D11-H11)/H11</f>
        <v>-0.64271249643163</v>
      </c>
      <c r="E70" s="18">
        <f>(E11-I11)/I11</f>
        <v>-0.4485825345462686</v>
      </c>
      <c r="F70" s="18">
        <f>(F11-J11)/J11</f>
        <v>-0.43040741681726885</v>
      </c>
      <c r="G70" s="19">
        <f>(G11-K11)/K11</f>
        <v>0.002994741706544271</v>
      </c>
      <c r="H70" s="20">
        <f>(H11-425319)/425319</f>
        <v>0.054229883922420584</v>
      </c>
      <c r="I70" s="20">
        <f>(I11-341124)/341124</f>
        <v>0.29639954972385407</v>
      </c>
      <c r="J70" s="21">
        <f>(J11-339298)/339298</f>
        <v>0.2296388425513855</v>
      </c>
      <c r="K70" s="19">
        <f>(K11-L11)/L11</f>
        <v>0.28193047637019464</v>
      </c>
      <c r="L70" s="21">
        <f>(L11-302841)/302841</f>
        <v>0.0674149140968363</v>
      </c>
    </row>
    <row r="71" spans="1:12" ht="11.25">
      <c r="A71" s="1" t="s">
        <v>64</v>
      </c>
      <c r="B71" s="16"/>
      <c r="C71" s="18">
        <f aca="true" t="shared" si="23" ref="C71:E73">(C13-G13)/G13</f>
        <v>-0.12273544764662017</v>
      </c>
      <c r="D71" s="18">
        <f t="shared" si="23"/>
        <v>-0.03792426826134691</v>
      </c>
      <c r="E71" s="18">
        <f t="shared" si="23"/>
        <v>0.18462082792782167</v>
      </c>
      <c r="F71" s="18">
        <f>F13/J13-1</f>
        <v>0.21372158425123033</v>
      </c>
      <c r="G71" s="19">
        <f>G13/K13-1</f>
        <v>-0.0733209353373373</v>
      </c>
      <c r="H71" s="20">
        <f>H13/88674-1</f>
        <v>-0.034463315064167666</v>
      </c>
      <c r="I71" s="20">
        <f>I13/92147-1</f>
        <v>-0.07983982115532795</v>
      </c>
      <c r="J71" s="21">
        <f>J13/90052-1</f>
        <v>-0.05232532314662641</v>
      </c>
      <c r="K71" s="19">
        <f>K13/L13-1</f>
        <v>0.07382308649250313</v>
      </c>
      <c r="L71" s="21">
        <f>L13/69087-1</f>
        <v>0.32641452082157274</v>
      </c>
    </row>
    <row r="72" spans="2:12" ht="11.25">
      <c r="B72" s="16" t="s">
        <v>15</v>
      </c>
      <c r="C72" s="18">
        <f t="shared" si="23"/>
        <v>-0.10467963228160947</v>
      </c>
      <c r="D72" s="18">
        <f t="shared" si="23"/>
        <v>0.02881755321203693</v>
      </c>
      <c r="E72" s="18">
        <f t="shared" si="23"/>
        <v>0.23693909343060146</v>
      </c>
      <c r="F72" s="18">
        <f>(F14-J14)/J14</f>
        <v>0.2489467255004612</v>
      </c>
      <c r="G72" s="19">
        <f>(G14-K14)/K14</f>
        <v>-0.07252648378838676</v>
      </c>
      <c r="H72" s="20">
        <f>(H14-83121)/83121</f>
        <v>-0.06568737142238423</v>
      </c>
      <c r="I72" s="20">
        <f>(I14-86771)/86771</f>
        <v>-0.09005312834933331</v>
      </c>
      <c r="J72" s="21">
        <f>(J14-84956)/84956</f>
        <v>-0.05567587927868544</v>
      </c>
      <c r="K72" s="19">
        <f>(K14-L14)/L14</f>
        <v>0.0792823204356019</v>
      </c>
      <c r="L72" s="21">
        <f>(L14-62416)/62416</f>
        <v>0.3858786208664445</v>
      </c>
    </row>
    <row r="73" spans="2:12" ht="11.25">
      <c r="B73" s="16" t="s">
        <v>16</v>
      </c>
      <c r="C73" s="20">
        <f t="shared" si="23"/>
        <v>-0.46260869565217394</v>
      </c>
      <c r="D73" s="18">
        <f t="shared" si="23"/>
        <v>-0.689330149553852</v>
      </c>
      <c r="E73" s="18">
        <f t="shared" si="23"/>
        <v>-0.5235727755871764</v>
      </c>
      <c r="F73" s="18">
        <f>(F15-J15)/J15</f>
        <v>-0.33887368009386</v>
      </c>
      <c r="G73" s="19">
        <f>(G15-K15)/K15</f>
        <v>-0.0880253766851705</v>
      </c>
      <c r="H73" s="20">
        <f>(H15-5553)/5553</f>
        <v>0.4329191428056906</v>
      </c>
      <c r="I73" s="20">
        <f>(I15-5376)/5376</f>
        <v>0.08500744047619048</v>
      </c>
      <c r="J73" s="21">
        <f>(J15-5096)/5096</f>
        <v>0.003532182103610675</v>
      </c>
      <c r="K73" s="19">
        <f>(K15-L15)/L15</f>
        <v>-0.018103951722795407</v>
      </c>
      <c r="L73" s="21">
        <f>(L15-6671)/6671</f>
        <v>-0.22995053215409983</v>
      </c>
    </row>
    <row r="74" spans="1:12" ht="11.25">
      <c r="A74" s="1" t="s">
        <v>65</v>
      </c>
      <c r="B74" s="16"/>
      <c r="C74" s="18">
        <f aca="true" t="shared" si="24" ref="C74:E75">(C17-G17)/G17</f>
        <v>-0.5274672133301795</v>
      </c>
      <c r="D74" s="18">
        <f t="shared" si="24"/>
        <v>-0.6032391205411088</v>
      </c>
      <c r="E74" s="18">
        <f t="shared" si="24"/>
        <v>-0.45579442201419174</v>
      </c>
      <c r="F74" s="18">
        <f>F17/J17-1</f>
        <v>-0.34398563577426144</v>
      </c>
      <c r="G74" s="19">
        <f>G17/K17-1</f>
        <v>-0.14104017012592385</v>
      </c>
      <c r="H74" s="20">
        <f>H17/240965-1</f>
        <v>0.057763575623015706</v>
      </c>
      <c r="I74" s="20">
        <f>I17/241247-1</f>
        <v>0.024617922709919693</v>
      </c>
      <c r="J74" s="21">
        <f>J17/245873-1</f>
        <v>-0.06902343892985408</v>
      </c>
      <c r="K74" s="19">
        <f>K17/L17-1</f>
        <v>-0.06648093198907512</v>
      </c>
      <c r="L74" s="21">
        <f>L17/242972-1</f>
        <v>-0.023525344484138122</v>
      </c>
    </row>
    <row r="75" spans="2:12" ht="11.25">
      <c r="B75" s="16" t="s">
        <v>15</v>
      </c>
      <c r="C75" s="18">
        <f t="shared" si="24"/>
        <v>-0.49992329641334027</v>
      </c>
      <c r="D75" s="18">
        <f t="shared" si="24"/>
        <v>-0.5724616094251503</v>
      </c>
      <c r="E75" s="18">
        <f t="shared" si="24"/>
        <v>-0.4194234331184487</v>
      </c>
      <c r="F75" s="18">
        <f>(F18-J18)/J18</f>
        <v>-0.34356809507901315</v>
      </c>
      <c r="G75" s="19">
        <f>(G18-K18)/K18</f>
        <v>-0.15419748280783704</v>
      </c>
      <c r="H75" s="20">
        <f>(H18-205185)/205185</f>
        <v>0.014323659136876478</v>
      </c>
      <c r="I75" s="20">
        <f>(I18-204171)/204171</f>
        <v>-0.05333274559070583</v>
      </c>
      <c r="J75" s="21">
        <f>(J18-215618)/215618</f>
        <v>-0.08374068955282027</v>
      </c>
      <c r="K75" s="19">
        <f>(K18-L18)/L18</f>
        <v>-0.0938015887573547</v>
      </c>
      <c r="L75" s="21">
        <f>(L18-159494)/159494</f>
        <v>0.3330846301428267</v>
      </c>
    </row>
    <row r="76" spans="2:12" ht="11.25">
      <c r="B76" s="16" t="s">
        <v>16</v>
      </c>
      <c r="C76" s="18">
        <f>(C22-G22)/G22</f>
        <v>-0.692008797653959</v>
      </c>
      <c r="D76" s="18">
        <f>(D22-H22)/H22</f>
        <v>-0.7402266894781865</v>
      </c>
      <c r="E76" s="18">
        <f>(E22-I22)/I22</f>
        <v>-0.5862088156723063</v>
      </c>
      <c r="F76" s="18">
        <f>(F22-J22)/J22</f>
        <v>-0.3466177409061902</v>
      </c>
      <c r="G76" s="19">
        <f>(G22-K22)/K22</f>
        <v>-0.05304082199389058</v>
      </c>
      <c r="H76" s="20">
        <f>(H22-35779)/35779</f>
        <v>0.30691187568126554</v>
      </c>
      <c r="I76" s="20">
        <f>(I22-37076)/37076</f>
        <v>0.45387851979717336</v>
      </c>
      <c r="J76" s="21">
        <f>(J22-30255)/30255</f>
        <v>0.035861841018013554</v>
      </c>
      <c r="K76" s="19">
        <f>(K22-L22)/L22</f>
        <v>0.16929821000933556</v>
      </c>
      <c r="L76" s="21">
        <f>(L22-83477)/83477</f>
        <v>-0.7048648130622807</v>
      </c>
    </row>
    <row r="77" spans="1:12" ht="11.25">
      <c r="A77" s="1" t="s">
        <v>66</v>
      </c>
      <c r="B77" s="16"/>
      <c r="C77" s="18">
        <f>C25/G25-1</f>
        <v>-1.0211488138646991</v>
      </c>
      <c r="D77" s="18">
        <f>D25/H25-1</f>
        <v>-0.6684267370694827</v>
      </c>
      <c r="E77" s="18">
        <f>E25/I25-1</f>
        <v>-0.5660952992653847</v>
      </c>
      <c r="F77" s="18">
        <f>(F25-J25)/J25</f>
        <v>-0.18790762541531647</v>
      </c>
      <c r="G77" s="19">
        <f>(G25-K25)/K25</f>
        <v>-0.013291005291005291</v>
      </c>
      <c r="H77" s="20">
        <f>(H25-49256)/49256</f>
        <v>0.015064154620756862</v>
      </c>
      <c r="I77" s="20">
        <f>(I25-47994)/47994</f>
        <v>0.03808809434512647</v>
      </c>
      <c r="J77" s="21">
        <f>(J25-41169)/41169</f>
        <v>0.18433772984527194</v>
      </c>
      <c r="K77" s="19">
        <f>(K25-L25)/L25</f>
        <v>0.37731009152917855</v>
      </c>
      <c r="L77" s="21">
        <f>(L25-29891)/29891</f>
        <v>0.14770332207018835</v>
      </c>
    </row>
    <row r="78" spans="1:12" ht="11.25">
      <c r="A78" s="2" t="s">
        <v>67</v>
      </c>
      <c r="B78" s="2"/>
      <c r="C78" s="22">
        <f>(C40-G40)/G40</f>
        <v>-55.03333333333333</v>
      </c>
      <c r="D78" s="22">
        <f>(D40-H40)/H40</f>
        <v>-8.149943310657596</v>
      </c>
      <c r="E78" s="22">
        <f>(E40-I40)/I40</f>
        <v>-3.556305506216696</v>
      </c>
      <c r="F78" s="22">
        <f>F40/J40-1</f>
        <v>1.685123966942149</v>
      </c>
      <c r="G78" s="23">
        <f>G40/K40-1</f>
        <v>-0.8461538461538461</v>
      </c>
      <c r="H78" s="22">
        <f>H40/4292-1</f>
        <v>-0.17800559179869524</v>
      </c>
      <c r="I78" s="22">
        <f>I40/2622-1</f>
        <v>0.07360793287566736</v>
      </c>
      <c r="J78" s="24">
        <f>J40/1222-1</f>
        <v>-0.009819967266775809</v>
      </c>
      <c r="K78" s="23">
        <f>(K40-L40)/L40</f>
        <v>-0.27637947725072604</v>
      </c>
      <c r="L78" s="24">
        <f>(L40-8635)/8635</f>
        <v>-0.28222350897510134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6227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2002-03-22T21:24:19Z</cp:lastPrinted>
  <dcterms:created xsi:type="dcterms:W3CDTF">2002-03-19T15:10:08Z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