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Istmo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<sst xmlns="http://schemas.openxmlformats.org/spreadsheetml/2006/main" count="84" uniqueCount="68">
  <si>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 18-15</t>
  </si>
  <si>
    <t>PRIMER BANCO DEL ISTMO, S.A.</t>
  </si>
  <si>
    <t>ESTADISTICA FINANCIERA. AÑO 1999, TRIMESTRES DE 2000 Y 2001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</si>
  <si>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</si>
  <si>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</si>
  <si>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</si>
  <si>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</si>
  <si>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</si>
  <si>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</si>
  <si>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</si>
  <si>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</si>
  <si>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</si>
  <si>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</si>
  <si>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</si>
  <si>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</si>
  <si>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</si>
  <si>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</si>
  <si>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</si>
  <si>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</si>
  <si>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</si>
  <si>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</si>
  <si>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</si>
  <si>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</si>
  <si>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</si>
  <si>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</si>
  <si>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</si>
  <si>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</si>
  <si>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</si>
  <si>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</si>
  <si>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</si>
  <si>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</si>
  <si>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</si>
  <si>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</si>
  <si>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</si>
  <si>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</si>
  <si>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</si>
  <si>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</si>
  <si>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</si>
  <si>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 xml:space="preserve">Provisiones Cuentas Malas / Préstamos Vencidos </t>
  </si>
  <si>
    <t xml:space="preserve">Provisiones / Préstamos Totales </t>
  </si>
  <si>
    <t>Razones de Capital</t>
  </si>
  <si>
    <t>Patrimonio / Activos Gerenadores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</si>
  <si>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</si>
  <si>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</si>
  <si>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</si>
  <si>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</si>
  <si>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</si>
  <si>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</si>
  <si>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</si>
  <si>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</si>
  <si>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</si>
  <si>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Gen. De Ing. (Promedio)</t>
  </si>
  <si>
    <t>Egresos Operaciones / Activos Gen. De Ing. (Promedio)</t>
  </si>
  <si>
    <t>Ingresos Netos por Intereses / Activos Gen. De Ing. (Promedio)</t>
  </si>
  <si>
    <t>Egresos Generales / Ingresos de Operaciones</t>
  </si>
  <si>
    <t>Otros Ingresos / Activos Gen. De Ing. (Promedio)</t>
  </si>
  <si>
    <t>Productividad</t>
  </si>
  <si>
    <t>Número de Empleados</t>
  </si>
  <si>
    <t>Sucursales</t>
  </si>
  <si>
    <t>Préstamos / Empleados</t>
  </si>
  <si>
    <t>Depósitos Totales / Empleados</t>
  </si>
  <si>
    <t>Utilidad Neta / Empleados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</si>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</sst>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  <numFmt numFmtId="199" formatCode="_ * #,##0.0_ ;_ * \-#,##0.0_ ;_ * &quot;-&quot;?_ ;_ @_ 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3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81" fontId="2" fillId="0" borderId="0" xfId="19" applyNumberFormat="1" applyFont="1" applyAlignment="1">
      <alignment/>
    </xf>
    <xf numFmtId="181" fontId="2" fillId="0" borderId="3" xfId="19" applyNumberFormat="1" applyFont="1" applyBorder="1" applyAlignment="1">
      <alignment/>
    </xf>
    <xf numFmtId="181" fontId="2" fillId="0" borderId="0" xfId="19" applyNumberFormat="1" applyFont="1" applyBorder="1" applyAlignment="1">
      <alignment/>
    </xf>
    <xf numFmtId="181" fontId="2" fillId="0" borderId="4" xfId="19" applyNumberFormat="1" applyFont="1" applyBorder="1" applyAlignment="1">
      <alignment/>
    </xf>
    <xf numFmtId="181" fontId="2" fillId="0" borderId="1" xfId="19" applyNumberFormat="1" applyFont="1" applyBorder="1" applyAlignment="1">
      <alignment/>
    </xf>
    <xf numFmtId="181" fontId="2" fillId="0" borderId="5" xfId="19" applyNumberFormat="1" applyFont="1" applyBorder="1" applyAlignment="1">
      <alignment/>
    </xf>
    <xf numFmtId="181" fontId="2" fillId="0" borderId="6" xfId="19" applyNumberFormat="1" applyFont="1" applyBorder="1" applyAlignment="1">
      <alignment/>
    </xf>
    <xf numFmtId="43" fontId="2" fillId="0" borderId="0" xfId="15" applyFont="1" applyAlignment="1">
      <alignment/>
    </xf>
    <xf numFmtId="43" fontId="2" fillId="0" borderId="3" xfId="15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4" xfId="15" applyFont="1" applyBorder="1" applyAlignment="1">
      <alignment/>
    </xf>
    <xf numFmtId="43" fontId="2" fillId="0" borderId="1" xfId="15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6" xfId="15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11.421875" defaultRowHeight="12.75"/>
  <cols>
    <col min="1" max="1" width="3.7109375" style="1" customWidth="1"/>
    <col min="2" max="2" width="38.7109375" style="1" customWidth="1"/>
    <col min="3" max="3" width="9.421875" style="1" customWidth="1"/>
    <col min="4" max="4" width="9.8515625" style="1" customWidth="1"/>
    <col min="5" max="6" width="9.00390625" style="1" bestFit="1" customWidth="1"/>
    <col min="7" max="7" width="9.57421875" style="1" customWidth="1"/>
    <col min="8" max="8" width="10.421875" style="1" customWidth="1"/>
    <col min="9" max="11" width="9.00390625" style="1" bestFit="1" customWidth="1"/>
    <col min="12" max="12" width="0.2890625" style="1" hidden="1" customWidth="1"/>
    <col min="13" max="16384" width="11.421875" style="1" customWidth="1"/>
  </cols>
  <sheetData>
    <row r="1" ht="11.25"/>
    <row r="2" spans="2:12" ht="11.25">
      <c r="B2" s="40"/>
      <c r="C2" s="40"/>
      <c r="D2" s="40"/>
      <c r="E2" s="40"/>
      <c r="F2" s="40" t="s">
        <v>0</v>
      </c>
      <c r="H2" s="40"/>
      <c r="I2" s="40"/>
      <c r="J2" s="40"/>
      <c r="K2" s="40"/>
      <c r="L2" s="40"/>
    </row>
    <row r="3" spans="2:12" ht="11.25">
      <c r="B3" s="40"/>
      <c r="C3" s="40"/>
      <c r="D3" s="40"/>
      <c r="E3" s="40"/>
      <c r="F3" s="40" t="s">
        <v>1</v>
      </c>
      <c r="H3" s="40"/>
      <c r="I3" s="40"/>
      <c r="J3" s="40"/>
      <c r="K3" s="40"/>
      <c r="L3" s="40"/>
    </row>
    <row r="4" spans="2:12" ht="11.25">
      <c r="B4" s="40"/>
      <c r="C4" s="40"/>
      <c r="D4" s="40"/>
      <c r="E4" s="40"/>
      <c r="F4" s="40" t="s">
        <v>2</v>
      </c>
      <c r="H4" s="40"/>
      <c r="I4" s="40"/>
      <c r="J4" s="40"/>
      <c r="K4" s="40"/>
      <c r="L4" s="40"/>
    </row>
    <row r="5" spans="2:12" ht="11.25">
      <c r="B5" s="39"/>
      <c r="C5" s="39"/>
      <c r="D5" s="39"/>
      <c r="E5" s="39"/>
      <c r="F5" s="39" t="s">
        <v>3</v>
      </c>
      <c r="H5" s="39"/>
      <c r="I5" s="39"/>
      <c r="J5" s="39"/>
      <c r="K5" s="39"/>
      <c r="L5" s="39"/>
    </row>
    <row r="6" spans="1:12" ht="11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1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11.25">
      <c r="A8" s="3"/>
      <c r="B8" s="3"/>
      <c r="C8" s="47">
        <v>2001</v>
      </c>
      <c r="D8" s="47"/>
      <c r="E8" s="47"/>
      <c r="F8" s="48"/>
      <c r="G8" s="46">
        <v>2000</v>
      </c>
      <c r="H8" s="47"/>
      <c r="I8" s="47"/>
      <c r="J8" s="48"/>
      <c r="K8" s="46" t="s">
        <v>4</v>
      </c>
      <c r="L8" s="48"/>
    </row>
    <row r="9" spans="1:12" s="4" customFormat="1" ht="11.25">
      <c r="A9" s="41"/>
      <c r="B9" s="41"/>
      <c r="C9" s="41" t="s">
        <v>5</v>
      </c>
      <c r="D9" s="41" t="s">
        <v>6</v>
      </c>
      <c r="E9" s="41" t="s">
        <v>7</v>
      </c>
      <c r="F9" s="41" t="s">
        <v>8</v>
      </c>
      <c r="G9" s="42" t="s">
        <v>5</v>
      </c>
      <c r="H9" s="41" t="s">
        <v>6</v>
      </c>
      <c r="I9" s="41" t="s">
        <v>7</v>
      </c>
      <c r="J9" s="43" t="s">
        <v>8</v>
      </c>
      <c r="K9" s="44" t="s">
        <v>9</v>
      </c>
      <c r="L9" s="45" t="s">
        <v>10</v>
      </c>
    </row>
    <row r="10" spans="1:12" ht="11.25">
      <c r="A10" s="4" t="s">
        <v>11</v>
      </c>
      <c r="B10" s="4"/>
      <c r="C10" s="4"/>
      <c r="D10" s="4"/>
      <c r="E10" s="4"/>
      <c r="F10" s="4"/>
      <c r="G10" s="5"/>
      <c r="H10" s="6"/>
      <c r="I10" s="6"/>
      <c r="J10" s="7"/>
      <c r="K10" s="5"/>
      <c r="L10" s="7"/>
    </row>
    <row r="11" spans="1:12" ht="11.25">
      <c r="A11" s="1" t="s">
        <v>12</v>
      </c>
      <c r="C11" s="8">
        <v>3158110</v>
      </c>
      <c r="D11" s="8">
        <v>3020903</v>
      </c>
      <c r="E11" s="8">
        <v>1901843</v>
      </c>
      <c r="F11" s="8">
        <v>1939871</v>
      </c>
      <c r="G11" s="9">
        <v>1970008</v>
      </c>
      <c r="H11" s="10">
        <v>1919860</v>
      </c>
      <c r="I11" s="10">
        <v>1645327</v>
      </c>
      <c r="J11" s="11">
        <v>1628199</v>
      </c>
      <c r="K11" s="9">
        <v>1603995</v>
      </c>
      <c r="L11" s="11">
        <v>1335147</v>
      </c>
    </row>
    <row r="12" spans="1:12" ht="11.25">
      <c r="A12" s="1" t="s">
        <v>13</v>
      </c>
      <c r="C12" s="8">
        <v>679549</v>
      </c>
      <c r="D12" s="8">
        <v>613925</v>
      </c>
      <c r="E12" s="8">
        <v>489992</v>
      </c>
      <c r="F12" s="8">
        <v>545209</v>
      </c>
      <c r="G12" s="9">
        <v>615823</v>
      </c>
      <c r="H12" s="10">
        <v>555955</v>
      </c>
      <c r="I12" s="10">
        <v>497930</v>
      </c>
      <c r="J12" s="11">
        <v>496265</v>
      </c>
      <c r="K12" s="9">
        <v>545388</v>
      </c>
      <c r="L12" s="11">
        <v>427812</v>
      </c>
    </row>
    <row r="13" spans="1:12" ht="11.25">
      <c r="A13" s="1" t="s">
        <v>14</v>
      </c>
      <c r="C13" s="8">
        <f aca="true" t="shared" si="0" ref="C13:L13">C14+C15</f>
        <v>1461437</v>
      </c>
      <c r="D13" s="8">
        <f t="shared" si="0"/>
        <v>1473153</v>
      </c>
      <c r="E13" s="8">
        <f t="shared" si="0"/>
        <v>684337</v>
      </c>
      <c r="F13" s="8">
        <f t="shared" si="0"/>
        <v>709601</v>
      </c>
      <c r="G13" s="9">
        <f t="shared" si="0"/>
        <v>723259</v>
      </c>
      <c r="H13" s="10">
        <f t="shared" si="0"/>
        <v>705276</v>
      </c>
      <c r="I13" s="10">
        <f t="shared" si="0"/>
        <v>691290</v>
      </c>
      <c r="J13" s="11">
        <f t="shared" si="0"/>
        <v>672725</v>
      </c>
      <c r="K13" s="9">
        <f t="shared" si="0"/>
        <v>654472</v>
      </c>
      <c r="L13" s="11">
        <f t="shared" si="0"/>
        <v>595455</v>
      </c>
    </row>
    <row r="14" spans="2:12" ht="11.25">
      <c r="B14" s="1" t="s">
        <v>15</v>
      </c>
      <c r="C14" s="8">
        <v>1450287</v>
      </c>
      <c r="D14" s="8">
        <v>1459299</v>
      </c>
      <c r="E14" s="8">
        <v>673305</v>
      </c>
      <c r="F14" s="8">
        <v>699594</v>
      </c>
      <c r="G14" s="9">
        <v>710805</v>
      </c>
      <c r="H14" s="10">
        <v>694515</v>
      </c>
      <c r="I14" s="10">
        <v>683366</v>
      </c>
      <c r="J14" s="11">
        <v>661249</v>
      </c>
      <c r="K14" s="9">
        <v>643558</v>
      </c>
      <c r="L14" s="11">
        <v>583292</v>
      </c>
    </row>
    <row r="15" spans="2:12" ht="11.25">
      <c r="B15" s="1" t="s">
        <v>16</v>
      </c>
      <c r="C15" s="8">
        <v>11150</v>
      </c>
      <c r="D15" s="8">
        <v>13854</v>
      </c>
      <c r="E15" s="8">
        <v>11032</v>
      </c>
      <c r="F15" s="8">
        <v>10007</v>
      </c>
      <c r="G15" s="9">
        <v>12454</v>
      </c>
      <c r="H15" s="10">
        <v>10761</v>
      </c>
      <c r="I15" s="10">
        <v>7924</v>
      </c>
      <c r="J15" s="11">
        <v>11476</v>
      </c>
      <c r="K15" s="9">
        <v>10914</v>
      </c>
      <c r="L15" s="11">
        <v>12163</v>
      </c>
    </row>
    <row r="16" spans="1:12" ht="11.25">
      <c r="A16" s="1" t="s">
        <v>17</v>
      </c>
      <c r="C16" s="8">
        <v>789105</v>
      </c>
      <c r="D16" s="8">
        <v>699055</v>
      </c>
      <c r="E16" s="8">
        <v>563754</v>
      </c>
      <c r="F16" s="8">
        <v>525995</v>
      </c>
      <c r="G16" s="9">
        <v>508058</v>
      </c>
      <c r="H16" s="10">
        <v>510570</v>
      </c>
      <c r="I16" s="10">
        <v>333772</v>
      </c>
      <c r="J16" s="11">
        <v>303765</v>
      </c>
      <c r="K16" s="9">
        <v>291401</v>
      </c>
      <c r="L16" s="11">
        <v>227252</v>
      </c>
    </row>
    <row r="17" spans="1:12" ht="11.25">
      <c r="A17" s="1" t="s">
        <v>18</v>
      </c>
      <c r="C17" s="8">
        <f aca="true" t="shared" si="1" ref="C17:L17">C18+C22</f>
        <v>2110513</v>
      </c>
      <c r="D17" s="8">
        <f t="shared" si="1"/>
        <v>2020897</v>
      </c>
      <c r="E17" s="8">
        <f t="shared" si="1"/>
        <v>1114527</v>
      </c>
      <c r="F17" s="8">
        <f t="shared" si="1"/>
        <v>1078761</v>
      </c>
      <c r="G17" s="9">
        <f t="shared" si="1"/>
        <v>1092916</v>
      </c>
      <c r="H17" s="10">
        <f t="shared" si="1"/>
        <v>1112263</v>
      </c>
      <c r="I17" s="10">
        <f t="shared" si="1"/>
        <v>1034728</v>
      </c>
      <c r="J17" s="11">
        <f t="shared" si="1"/>
        <v>1029777</v>
      </c>
      <c r="K17" s="9">
        <f t="shared" si="1"/>
        <v>1038033</v>
      </c>
      <c r="L17" s="11">
        <f t="shared" si="1"/>
        <v>923164</v>
      </c>
    </row>
    <row r="18" spans="2:12" ht="11.25">
      <c r="B18" s="1" t="s">
        <v>15</v>
      </c>
      <c r="C18" s="8">
        <f aca="true" t="shared" si="2" ref="C18:L18">SUM(C19:C21)</f>
        <v>2056424</v>
      </c>
      <c r="D18" s="8">
        <f t="shared" si="2"/>
        <v>1966811</v>
      </c>
      <c r="E18" s="8">
        <f t="shared" si="2"/>
        <v>1071034</v>
      </c>
      <c r="F18" s="8">
        <f t="shared" si="2"/>
        <v>1039596</v>
      </c>
      <c r="G18" s="9">
        <f t="shared" si="2"/>
        <v>1060316</v>
      </c>
      <c r="H18" s="10">
        <f t="shared" si="2"/>
        <v>1063190</v>
      </c>
      <c r="I18" s="10">
        <f t="shared" si="2"/>
        <v>992781</v>
      </c>
      <c r="J18" s="11">
        <f t="shared" si="2"/>
        <v>962124</v>
      </c>
      <c r="K18" s="9">
        <f t="shared" si="2"/>
        <v>969484</v>
      </c>
      <c r="L18" s="11">
        <f t="shared" si="2"/>
        <v>839038</v>
      </c>
    </row>
    <row r="19" spans="2:12" ht="11.25">
      <c r="B19" s="1" t="s">
        <v>19</v>
      </c>
      <c r="C19" s="8">
        <v>0</v>
      </c>
      <c r="D19" s="8">
        <v>0</v>
      </c>
      <c r="E19" s="8">
        <v>0</v>
      </c>
      <c r="F19" s="8">
        <v>0</v>
      </c>
      <c r="G19" s="9">
        <v>0</v>
      </c>
      <c r="H19" s="10">
        <v>0</v>
      </c>
      <c r="I19" s="10">
        <v>0</v>
      </c>
      <c r="J19" s="11">
        <v>0</v>
      </c>
      <c r="K19" s="9">
        <v>0</v>
      </c>
      <c r="L19" s="11">
        <v>0</v>
      </c>
    </row>
    <row r="20" spans="2:12" ht="11.25">
      <c r="B20" s="1" t="s">
        <v>20</v>
      </c>
      <c r="C20" s="8">
        <v>1946509</v>
      </c>
      <c r="D20" s="8">
        <v>1851234</v>
      </c>
      <c r="E20" s="8">
        <v>923486</v>
      </c>
      <c r="F20" s="8">
        <v>872825</v>
      </c>
      <c r="G20" s="9">
        <v>879782</v>
      </c>
      <c r="H20" s="10">
        <v>851272</v>
      </c>
      <c r="I20" s="10">
        <v>850740</v>
      </c>
      <c r="J20" s="11">
        <v>843367</v>
      </c>
      <c r="K20" s="9">
        <v>811351</v>
      </c>
      <c r="L20" s="11">
        <v>772164</v>
      </c>
    </row>
    <row r="21" spans="2:12" ht="11.25">
      <c r="B21" s="1" t="s">
        <v>21</v>
      </c>
      <c r="C21" s="8">
        <v>109915</v>
      </c>
      <c r="D21" s="8">
        <v>115577</v>
      </c>
      <c r="E21" s="8">
        <v>147548</v>
      </c>
      <c r="F21" s="8">
        <v>166771</v>
      </c>
      <c r="G21" s="9">
        <v>180534</v>
      </c>
      <c r="H21" s="10">
        <v>211918</v>
      </c>
      <c r="I21" s="10">
        <v>142041</v>
      </c>
      <c r="J21" s="11">
        <v>118757</v>
      </c>
      <c r="K21" s="9">
        <v>158133</v>
      </c>
      <c r="L21" s="11">
        <v>66874</v>
      </c>
    </row>
    <row r="22" spans="2:12" ht="11.25">
      <c r="B22" s="1" t="s">
        <v>16</v>
      </c>
      <c r="C22" s="8">
        <f aca="true" t="shared" si="3" ref="C22:L22">SUM(C23:C24)</f>
        <v>54089</v>
      </c>
      <c r="D22" s="8">
        <f t="shared" si="3"/>
        <v>54086</v>
      </c>
      <c r="E22" s="8">
        <f t="shared" si="3"/>
        <v>43493</v>
      </c>
      <c r="F22" s="8">
        <f t="shared" si="3"/>
        <v>39165</v>
      </c>
      <c r="G22" s="9">
        <f t="shared" si="3"/>
        <v>32600</v>
      </c>
      <c r="H22" s="10">
        <f t="shared" si="3"/>
        <v>49073</v>
      </c>
      <c r="I22" s="10">
        <f t="shared" si="3"/>
        <v>41947</v>
      </c>
      <c r="J22" s="11">
        <f t="shared" si="3"/>
        <v>67653</v>
      </c>
      <c r="K22" s="9">
        <f t="shared" si="3"/>
        <v>68549</v>
      </c>
      <c r="L22" s="11">
        <f t="shared" si="3"/>
        <v>84126</v>
      </c>
    </row>
    <row r="23" spans="2:12" ht="11.25">
      <c r="B23" s="1" t="s">
        <v>20</v>
      </c>
      <c r="C23" s="8">
        <v>17871</v>
      </c>
      <c r="D23" s="8">
        <v>17004</v>
      </c>
      <c r="E23" s="8">
        <v>13894</v>
      </c>
      <c r="F23" s="8">
        <v>12267</v>
      </c>
      <c r="G23" s="9">
        <v>15449</v>
      </c>
      <c r="H23" s="10">
        <v>22388</v>
      </c>
      <c r="I23" s="10">
        <v>13025</v>
      </c>
      <c r="J23" s="11">
        <v>13693</v>
      </c>
      <c r="K23" s="9">
        <v>15467</v>
      </c>
      <c r="L23" s="11">
        <v>12336</v>
      </c>
    </row>
    <row r="24" spans="2:12" ht="11.25">
      <c r="B24" s="1" t="s">
        <v>21</v>
      </c>
      <c r="C24" s="8">
        <v>36218</v>
      </c>
      <c r="D24" s="8">
        <v>37082</v>
      </c>
      <c r="E24" s="8">
        <v>29599</v>
      </c>
      <c r="F24" s="8">
        <v>26898</v>
      </c>
      <c r="G24" s="9">
        <v>17151</v>
      </c>
      <c r="H24" s="10">
        <v>26685</v>
      </c>
      <c r="I24" s="10">
        <v>28922</v>
      </c>
      <c r="J24" s="11">
        <v>53960</v>
      </c>
      <c r="K24" s="9">
        <v>53082</v>
      </c>
      <c r="L24" s="11">
        <v>71790</v>
      </c>
    </row>
    <row r="25" spans="1:12" ht="11.25">
      <c r="A25" s="2" t="s">
        <v>22</v>
      </c>
      <c r="B25" s="2"/>
      <c r="C25" s="12">
        <v>357380</v>
      </c>
      <c r="D25" s="12">
        <v>357073</v>
      </c>
      <c r="E25" s="12">
        <v>265504</v>
      </c>
      <c r="F25" s="12">
        <v>222163</v>
      </c>
      <c r="G25" s="13">
        <v>224251</v>
      </c>
      <c r="H25" s="12">
        <v>225730</v>
      </c>
      <c r="I25" s="12">
        <v>147805</v>
      </c>
      <c r="J25" s="14">
        <v>145338</v>
      </c>
      <c r="K25" s="13">
        <v>136250</v>
      </c>
      <c r="L25" s="14">
        <v>121019</v>
      </c>
    </row>
    <row r="26" spans="1:12" ht="11.25">
      <c r="A26" s="4" t="s">
        <v>23</v>
      </c>
      <c r="C26" s="8"/>
      <c r="D26" s="8"/>
      <c r="E26" s="8"/>
      <c r="F26" s="8"/>
      <c r="G26" s="9"/>
      <c r="H26" s="10"/>
      <c r="I26" s="10"/>
      <c r="J26" s="11"/>
      <c r="K26" s="9"/>
      <c r="L26" s="11"/>
    </row>
    <row r="27" spans="1:12" ht="11.25">
      <c r="A27" s="1" t="s">
        <v>12</v>
      </c>
      <c r="C27" s="8">
        <f>(C11+G11)/2</f>
        <v>2564059</v>
      </c>
      <c r="D27" s="8">
        <f>(D11+H11)/2</f>
        <v>2470381.5</v>
      </c>
      <c r="E27" s="8">
        <f>(E11+I11)/2</f>
        <v>1773585</v>
      </c>
      <c r="F27" s="8">
        <f>+(F11+J11)/2</f>
        <v>1784035</v>
      </c>
      <c r="G27" s="9">
        <f>+(G11+K11)/2</f>
        <v>1787001.5</v>
      </c>
      <c r="H27" s="10">
        <v>1710273</v>
      </c>
      <c r="I27" s="10">
        <v>1538383</v>
      </c>
      <c r="J27" s="11">
        <v>1477696</v>
      </c>
      <c r="K27" s="9">
        <f>(K11+L11)/2</f>
        <v>1469571</v>
      </c>
      <c r="L27" s="11">
        <v>1169609</v>
      </c>
    </row>
    <row r="28" spans="1:12" ht="11.25">
      <c r="A28" s="1" t="s">
        <v>24</v>
      </c>
      <c r="C28" s="8">
        <f aca="true" t="shared" si="4" ref="C28:L28">C29+C30</f>
        <v>1740929.5</v>
      </c>
      <c r="D28" s="8">
        <f t="shared" si="4"/>
        <v>1694027</v>
      </c>
      <c r="E28" s="8">
        <f t="shared" si="4"/>
        <v>1136576.5</v>
      </c>
      <c r="F28" s="8">
        <f t="shared" si="4"/>
        <v>1106043</v>
      </c>
      <c r="G28" s="9">
        <f t="shared" si="4"/>
        <v>1088595</v>
      </c>
      <c r="H28" s="10">
        <f t="shared" si="4"/>
        <v>1073153</v>
      </c>
      <c r="I28" s="10">
        <f t="shared" si="4"/>
        <v>941597</v>
      </c>
      <c r="J28" s="11">
        <f t="shared" si="4"/>
        <v>919314</v>
      </c>
      <c r="K28" s="9">
        <f t="shared" si="4"/>
        <v>884290</v>
      </c>
      <c r="L28" s="11">
        <f t="shared" si="4"/>
        <v>729352</v>
      </c>
    </row>
    <row r="29" spans="2:12" ht="11.25">
      <c r="B29" s="1" t="s">
        <v>14</v>
      </c>
      <c r="C29" s="8">
        <f>(C13+G13)/2</f>
        <v>1092348</v>
      </c>
      <c r="D29" s="8">
        <f>(D13+H13)/2</f>
        <v>1089214.5</v>
      </c>
      <c r="E29" s="8">
        <f>(E13+I13)/2</f>
        <v>687813.5</v>
      </c>
      <c r="F29" s="8">
        <f>+(F13+J13)/2</f>
        <v>691163</v>
      </c>
      <c r="G29" s="9">
        <f>+(G13+K13)/2</f>
        <v>688865.5</v>
      </c>
      <c r="H29" s="10">
        <v>671132</v>
      </c>
      <c r="I29" s="10">
        <v>663652</v>
      </c>
      <c r="J29" s="11">
        <v>652586</v>
      </c>
      <c r="K29" s="9">
        <f>(K13+L13)/2</f>
        <v>624963.5</v>
      </c>
      <c r="L29" s="11">
        <v>556087</v>
      </c>
    </row>
    <row r="30" spans="2:12" ht="11.25">
      <c r="B30" s="1" t="s">
        <v>17</v>
      </c>
      <c r="C30" s="8">
        <f>(C16+G16)/2</f>
        <v>648581.5</v>
      </c>
      <c r="D30" s="8">
        <f>(D16+H16)/2</f>
        <v>604812.5</v>
      </c>
      <c r="E30" s="8">
        <f>(E16+I16)/2</f>
        <v>448763</v>
      </c>
      <c r="F30" s="8">
        <f>+(F16+J16)/2</f>
        <v>414880</v>
      </c>
      <c r="G30" s="9">
        <f>+(G16+K16)/2</f>
        <v>399729.5</v>
      </c>
      <c r="H30" s="10">
        <v>402021</v>
      </c>
      <c r="I30" s="10">
        <v>277945</v>
      </c>
      <c r="J30" s="11">
        <v>266728</v>
      </c>
      <c r="K30" s="9">
        <f>(K16+L16)/2</f>
        <v>259326.5</v>
      </c>
      <c r="L30" s="11">
        <v>173265</v>
      </c>
    </row>
    <row r="31" spans="1:12" ht="11.25">
      <c r="A31" s="2" t="s">
        <v>22</v>
      </c>
      <c r="B31" s="2"/>
      <c r="C31" s="12">
        <f>(C25+G25)/2</f>
        <v>290815.5</v>
      </c>
      <c r="D31" s="12">
        <f>(D25+H25)/2</f>
        <v>291401.5</v>
      </c>
      <c r="E31" s="12">
        <f>(E25+I25)/2</f>
        <v>206654.5</v>
      </c>
      <c r="F31" s="12">
        <f>+(F25+J25)/2</f>
        <v>183750.5</v>
      </c>
      <c r="G31" s="13">
        <f>+(G25+K25)/2</f>
        <v>180250.5</v>
      </c>
      <c r="H31" s="12">
        <v>171489</v>
      </c>
      <c r="I31" s="12">
        <v>131581</v>
      </c>
      <c r="J31" s="14">
        <v>132635</v>
      </c>
      <c r="K31" s="13">
        <f>(K25+L25)/2</f>
        <v>128634.5</v>
      </c>
      <c r="L31" s="14">
        <v>102597</v>
      </c>
    </row>
    <row r="32" spans="1:12" ht="11.25">
      <c r="A32" s="4" t="s">
        <v>25</v>
      </c>
      <c r="C32" s="8"/>
      <c r="D32" s="8"/>
      <c r="E32" s="8"/>
      <c r="F32" s="8"/>
      <c r="G32" s="15"/>
      <c r="H32" s="16"/>
      <c r="I32" s="16"/>
      <c r="J32" s="17"/>
      <c r="K32" s="15"/>
      <c r="L32" s="17"/>
    </row>
    <row r="33" spans="1:12" ht="11.25">
      <c r="A33" s="1" t="s">
        <v>26</v>
      </c>
      <c r="C33" s="8">
        <v>223253</v>
      </c>
      <c r="D33" s="8">
        <v>163714</v>
      </c>
      <c r="E33" s="8">
        <f>F33+67553</f>
        <v>110666</v>
      </c>
      <c r="F33" s="8">
        <v>43113</v>
      </c>
      <c r="G33" s="9">
        <v>137116</v>
      </c>
      <c r="H33" s="10">
        <v>97922</v>
      </c>
      <c r="I33" s="10">
        <v>61590</v>
      </c>
      <c r="J33" s="11">
        <v>32633</v>
      </c>
      <c r="K33" s="9">
        <v>112750</v>
      </c>
      <c r="L33" s="11">
        <v>121752</v>
      </c>
    </row>
    <row r="34" spans="1:12" ht="11.25">
      <c r="A34" s="1" t="s">
        <v>27</v>
      </c>
      <c r="C34" s="8">
        <v>138307</v>
      </c>
      <c r="D34" s="8">
        <v>94567</v>
      </c>
      <c r="E34" s="8">
        <f>F34+28837</f>
        <v>59652</v>
      </c>
      <c r="F34" s="8">
        <v>30815</v>
      </c>
      <c r="G34" s="9">
        <v>109940</v>
      </c>
      <c r="H34" s="10">
        <v>79127</v>
      </c>
      <c r="I34" s="10">
        <v>49737</v>
      </c>
      <c r="J34" s="11">
        <v>23995</v>
      </c>
      <c r="K34" s="9">
        <v>87294</v>
      </c>
      <c r="L34" s="11">
        <v>69690</v>
      </c>
    </row>
    <row r="35" spans="1:12" ht="11.25">
      <c r="A35" s="1" t="s">
        <v>28</v>
      </c>
      <c r="C35" s="8">
        <f aca="true" t="shared" si="5" ref="C35:L35">C33-C34</f>
        <v>84946</v>
      </c>
      <c r="D35" s="8">
        <f t="shared" si="5"/>
        <v>69147</v>
      </c>
      <c r="E35" s="8">
        <f t="shared" si="5"/>
        <v>51014</v>
      </c>
      <c r="F35" s="8">
        <f t="shared" si="5"/>
        <v>12298</v>
      </c>
      <c r="G35" s="9">
        <f t="shared" si="5"/>
        <v>27176</v>
      </c>
      <c r="H35" s="10">
        <f t="shared" si="5"/>
        <v>18795</v>
      </c>
      <c r="I35" s="10">
        <f t="shared" si="5"/>
        <v>11853</v>
      </c>
      <c r="J35" s="11">
        <f t="shared" si="5"/>
        <v>8638</v>
      </c>
      <c r="K35" s="9">
        <f t="shared" si="5"/>
        <v>25456</v>
      </c>
      <c r="L35" s="11">
        <f t="shared" si="5"/>
        <v>52062</v>
      </c>
    </row>
    <row r="36" spans="1:12" ht="11.25">
      <c r="A36" s="1" t="s">
        <v>29</v>
      </c>
      <c r="C36" s="8">
        <v>41770</v>
      </c>
      <c r="D36" s="8">
        <v>30693</v>
      </c>
      <c r="E36" s="8">
        <f>F36+11027</f>
        <v>17199</v>
      </c>
      <c r="F36" s="8">
        <v>6172</v>
      </c>
      <c r="G36" s="9">
        <v>41968</v>
      </c>
      <c r="H36" s="10">
        <v>25866</v>
      </c>
      <c r="I36" s="10">
        <v>16762</v>
      </c>
      <c r="J36" s="11">
        <v>7940</v>
      </c>
      <c r="K36" s="9">
        <v>33063</v>
      </c>
      <c r="L36" s="11">
        <v>8434</v>
      </c>
    </row>
    <row r="37" spans="1:12" ht="11.25">
      <c r="A37" s="1" t="s">
        <v>30</v>
      </c>
      <c r="C37" s="8">
        <f aca="true" t="shared" si="6" ref="C37:L37">C35+C36</f>
        <v>126716</v>
      </c>
      <c r="D37" s="8">
        <f t="shared" si="6"/>
        <v>99840</v>
      </c>
      <c r="E37" s="8">
        <f t="shared" si="6"/>
        <v>68213</v>
      </c>
      <c r="F37" s="8">
        <f t="shared" si="6"/>
        <v>18470</v>
      </c>
      <c r="G37" s="9">
        <f t="shared" si="6"/>
        <v>69144</v>
      </c>
      <c r="H37" s="10">
        <f t="shared" si="6"/>
        <v>44661</v>
      </c>
      <c r="I37" s="10">
        <f t="shared" si="6"/>
        <v>28615</v>
      </c>
      <c r="J37" s="11">
        <f t="shared" si="6"/>
        <v>16578</v>
      </c>
      <c r="K37" s="9">
        <f t="shared" si="6"/>
        <v>58519</v>
      </c>
      <c r="L37" s="11">
        <f t="shared" si="6"/>
        <v>60496</v>
      </c>
    </row>
    <row r="38" spans="1:12" ht="11.25">
      <c r="A38" s="1" t="s">
        <v>31</v>
      </c>
      <c r="C38" s="8">
        <v>57018</v>
      </c>
      <c r="D38" s="8">
        <v>36306</v>
      </c>
      <c r="E38" s="8">
        <f>F38+10428</f>
        <v>19858</v>
      </c>
      <c r="F38" s="8">
        <v>9430</v>
      </c>
      <c r="G38" s="9">
        <v>44581</v>
      </c>
      <c r="H38" s="10">
        <v>27924</v>
      </c>
      <c r="I38" s="10">
        <v>19464</v>
      </c>
      <c r="J38" s="11">
        <v>10592</v>
      </c>
      <c r="K38" s="9">
        <v>41351</v>
      </c>
      <c r="L38" s="11">
        <v>33651</v>
      </c>
    </row>
    <row r="39" spans="1:12" ht="11.25">
      <c r="A39" s="1" t="s">
        <v>32</v>
      </c>
      <c r="C39" s="8">
        <f aca="true" t="shared" si="7" ref="C39:L39">C37-C38</f>
        <v>69698</v>
      </c>
      <c r="D39" s="8">
        <f t="shared" si="7"/>
        <v>63534</v>
      </c>
      <c r="E39" s="8">
        <f t="shared" si="7"/>
        <v>48355</v>
      </c>
      <c r="F39" s="8">
        <f t="shared" si="7"/>
        <v>9040</v>
      </c>
      <c r="G39" s="9">
        <f t="shared" si="7"/>
        <v>24563</v>
      </c>
      <c r="H39" s="10">
        <f t="shared" si="7"/>
        <v>16737</v>
      </c>
      <c r="I39" s="10">
        <f t="shared" si="7"/>
        <v>9151</v>
      </c>
      <c r="J39" s="11">
        <f t="shared" si="7"/>
        <v>5986</v>
      </c>
      <c r="K39" s="9">
        <f t="shared" si="7"/>
        <v>17168</v>
      </c>
      <c r="L39" s="11">
        <f t="shared" si="7"/>
        <v>26845</v>
      </c>
    </row>
    <row r="40" spans="1:12" ht="11.25">
      <c r="A40" s="2" t="s">
        <v>33</v>
      </c>
      <c r="B40" s="2"/>
      <c r="C40" s="12">
        <v>69279</v>
      </c>
      <c r="D40" s="12">
        <v>62132</v>
      </c>
      <c r="E40" s="12">
        <f>F40+39315</f>
        <v>48355</v>
      </c>
      <c r="F40" s="12">
        <v>9040</v>
      </c>
      <c r="G40" s="13">
        <v>20313</v>
      </c>
      <c r="H40" s="12">
        <v>14787</v>
      </c>
      <c r="I40" s="12">
        <v>8151</v>
      </c>
      <c r="J40" s="14">
        <v>5686</v>
      </c>
      <c r="K40" s="13">
        <v>14318</v>
      </c>
      <c r="L40" s="14">
        <v>17295</v>
      </c>
    </row>
    <row r="41" spans="1:12" ht="11.25">
      <c r="A41" s="4" t="s">
        <v>34</v>
      </c>
      <c r="C41" s="8"/>
      <c r="E41" s="8"/>
      <c r="F41" s="8"/>
      <c r="G41" s="15"/>
      <c r="H41" s="16"/>
      <c r="I41" s="16"/>
      <c r="J41" s="17"/>
      <c r="K41" s="15"/>
      <c r="L41" s="17"/>
    </row>
    <row r="42" spans="1:12" ht="11.25">
      <c r="A42" s="1" t="s">
        <v>35</v>
      </c>
      <c r="C42" s="8">
        <v>38614</v>
      </c>
      <c r="D42" s="8">
        <v>44323</v>
      </c>
      <c r="E42" s="8">
        <v>26210</v>
      </c>
      <c r="F42" s="8">
        <v>17009</v>
      </c>
      <c r="G42" s="9">
        <v>12735</v>
      </c>
      <c r="H42" s="10">
        <v>11913</v>
      </c>
      <c r="I42" s="10">
        <v>10883</v>
      </c>
      <c r="J42" s="11">
        <v>11165</v>
      </c>
      <c r="K42" s="9">
        <v>11128</v>
      </c>
      <c r="L42" s="11">
        <v>9657</v>
      </c>
    </row>
    <row r="43" spans="1:12" ht="11.25">
      <c r="A43" s="1" t="s">
        <v>36</v>
      </c>
      <c r="C43" s="8">
        <v>26890</v>
      </c>
      <c r="D43" s="8">
        <v>33232</v>
      </c>
      <c r="E43" s="8">
        <v>12008</v>
      </c>
      <c r="F43" s="8">
        <v>13111</v>
      </c>
      <c r="G43" s="9">
        <v>12179</v>
      </c>
      <c r="H43" s="10">
        <v>9943</v>
      </c>
      <c r="I43" s="10">
        <v>9801</v>
      </c>
      <c r="J43" s="11">
        <v>10314</v>
      </c>
      <c r="K43" s="9">
        <v>11700</v>
      </c>
      <c r="L43" s="11">
        <v>11336</v>
      </c>
    </row>
    <row r="44" spans="1:12" ht="11.25">
      <c r="A44" s="1" t="s">
        <v>37</v>
      </c>
      <c r="C44" s="18">
        <f aca="true" t="shared" si="8" ref="C44:L44">C42/C13</f>
        <v>0.026421939502010692</v>
      </c>
      <c r="D44" s="18">
        <f t="shared" si="8"/>
        <v>0.0300871667776531</v>
      </c>
      <c r="E44" s="18">
        <f t="shared" si="8"/>
        <v>0.038299843498159535</v>
      </c>
      <c r="F44" s="18">
        <f t="shared" si="8"/>
        <v>0.023969808385275668</v>
      </c>
      <c r="G44" s="19">
        <f t="shared" si="8"/>
        <v>0.017607800248596976</v>
      </c>
      <c r="H44" s="20">
        <f t="shared" si="8"/>
        <v>0.01689125959198952</v>
      </c>
      <c r="I44" s="20">
        <f t="shared" si="8"/>
        <v>0.015743031144671557</v>
      </c>
      <c r="J44" s="21">
        <f t="shared" si="8"/>
        <v>0.016596677691478687</v>
      </c>
      <c r="K44" s="19">
        <f t="shared" si="8"/>
        <v>0.017003019227713332</v>
      </c>
      <c r="L44" s="21">
        <f t="shared" si="8"/>
        <v>0.016217850215381514</v>
      </c>
    </row>
    <row r="45" spans="1:12" ht="11.25">
      <c r="A45" s="1" t="s">
        <v>38</v>
      </c>
      <c r="C45" s="18">
        <f aca="true" t="shared" si="9" ref="C45:L45">C43/C42</f>
        <v>0.6963795514580204</v>
      </c>
      <c r="D45" s="18">
        <f t="shared" si="9"/>
        <v>0.7497687430904948</v>
      </c>
      <c r="E45" s="18">
        <f t="shared" si="9"/>
        <v>0.45814574589851204</v>
      </c>
      <c r="F45" s="18">
        <f t="shared" si="9"/>
        <v>0.7708272091245811</v>
      </c>
      <c r="G45" s="19">
        <f t="shared" si="9"/>
        <v>0.9563407930899097</v>
      </c>
      <c r="H45" s="20">
        <f t="shared" si="9"/>
        <v>0.8346344329723832</v>
      </c>
      <c r="I45" s="20">
        <f t="shared" si="9"/>
        <v>0.9005788844987596</v>
      </c>
      <c r="J45" s="21">
        <f t="shared" si="9"/>
        <v>0.9237796686072548</v>
      </c>
      <c r="K45" s="19">
        <f t="shared" si="9"/>
        <v>1.0514018691588785</v>
      </c>
      <c r="L45" s="21">
        <f t="shared" si="9"/>
        <v>1.1738635186911048</v>
      </c>
    </row>
    <row r="46" spans="1:12" ht="11.25">
      <c r="A46" s="2" t="s">
        <v>39</v>
      </c>
      <c r="B46" s="2"/>
      <c r="C46" s="22">
        <f aca="true" t="shared" si="10" ref="C46:L46">C43/C13</f>
        <v>0.018399698379061157</v>
      </c>
      <c r="D46" s="22">
        <f t="shared" si="10"/>
        <v>0.02255841721803506</v>
      </c>
      <c r="E46" s="22">
        <f t="shared" si="10"/>
        <v>0.017546910367260575</v>
      </c>
      <c r="F46" s="22">
        <f t="shared" si="10"/>
        <v>0.018476580500873026</v>
      </c>
      <c r="G46" s="23">
        <f t="shared" si="10"/>
        <v>0.016839057654311942</v>
      </c>
      <c r="H46" s="22">
        <f t="shared" si="10"/>
        <v>0.0140980268717495</v>
      </c>
      <c r="I46" s="22">
        <f t="shared" si="10"/>
        <v>0.01417784142689754</v>
      </c>
      <c r="J46" s="24">
        <f t="shared" si="10"/>
        <v>0.0153316734178156</v>
      </c>
      <c r="K46" s="23">
        <f t="shared" si="10"/>
        <v>0.01787700619736215</v>
      </c>
      <c r="L46" s="24">
        <f t="shared" si="10"/>
        <v>0.01903754271943304</v>
      </c>
    </row>
    <row r="47" spans="1:12" ht="11.25">
      <c r="A47" s="4" t="s">
        <v>40</v>
      </c>
      <c r="G47" s="15"/>
      <c r="H47" s="16"/>
      <c r="I47" s="16"/>
      <c r="J47" s="17"/>
      <c r="K47" s="15"/>
      <c r="L47" s="17"/>
    </row>
    <row r="48" spans="1:12" ht="11.25">
      <c r="A48" s="1" t="s">
        <v>41</v>
      </c>
      <c r="C48" s="18">
        <f aca="true" t="shared" si="11" ref="C48:L48">C25/(C13+C16)</f>
        <v>0.15879730304966536</v>
      </c>
      <c r="D48" s="18">
        <f t="shared" si="11"/>
        <v>0.16438250848905814</v>
      </c>
      <c r="E48" s="18">
        <f t="shared" si="11"/>
        <v>0.21272807832121216</v>
      </c>
      <c r="F48" s="18">
        <f t="shared" si="11"/>
        <v>0.17980229783845206</v>
      </c>
      <c r="G48" s="19">
        <f t="shared" si="11"/>
        <v>0.1821228814350813</v>
      </c>
      <c r="H48" s="20">
        <f t="shared" si="11"/>
        <v>0.185656736132701</v>
      </c>
      <c r="I48" s="20">
        <f t="shared" si="11"/>
        <v>0.14419127818609997</v>
      </c>
      <c r="J48" s="21">
        <f t="shared" si="11"/>
        <v>0.14883716167088246</v>
      </c>
      <c r="K48" s="19">
        <f t="shared" si="11"/>
        <v>0.1440468223535295</v>
      </c>
      <c r="L48" s="21">
        <f t="shared" si="11"/>
        <v>0.14709854176517279</v>
      </c>
    </row>
    <row r="49" spans="1:12" ht="11.25">
      <c r="A49" s="2" t="s">
        <v>42</v>
      </c>
      <c r="B49" s="2"/>
      <c r="C49" s="22">
        <f aca="true" t="shared" si="12" ref="C49:L49">C25/C13</f>
        <v>0.2445401341282587</v>
      </c>
      <c r="D49" s="22">
        <f t="shared" si="12"/>
        <v>0.2423869075377778</v>
      </c>
      <c r="E49" s="22">
        <f t="shared" si="12"/>
        <v>0.38797259245079546</v>
      </c>
      <c r="F49" s="22">
        <f t="shared" si="12"/>
        <v>0.3130815768297959</v>
      </c>
      <c r="G49" s="23">
        <f t="shared" si="12"/>
        <v>0.3100562868903118</v>
      </c>
      <c r="H49" s="22">
        <f t="shared" si="12"/>
        <v>0.3200590974313602</v>
      </c>
      <c r="I49" s="22">
        <f t="shared" si="12"/>
        <v>0.21381041241736465</v>
      </c>
      <c r="J49" s="24">
        <f t="shared" si="12"/>
        <v>0.21604370285034746</v>
      </c>
      <c r="K49" s="23">
        <f t="shared" si="12"/>
        <v>0.20818308499064894</v>
      </c>
      <c r="L49" s="24">
        <f t="shared" si="12"/>
        <v>0.2032378601237709</v>
      </c>
    </row>
    <row r="50" spans="1:12" ht="11.25">
      <c r="A50" s="4" t="s">
        <v>43</v>
      </c>
      <c r="G50" s="15"/>
      <c r="H50" s="16"/>
      <c r="I50" s="16"/>
      <c r="J50" s="17"/>
      <c r="K50" s="15"/>
      <c r="L50" s="17"/>
    </row>
    <row r="51" spans="1:12" ht="11.25">
      <c r="A51" s="1" t="s">
        <v>44</v>
      </c>
      <c r="C51" s="25">
        <f aca="true" t="shared" si="13" ref="C51:L51">C12/C17</f>
        <v>0.32198285440554025</v>
      </c>
      <c r="D51" s="25">
        <f t="shared" si="13"/>
        <v>0.30378836724484226</v>
      </c>
      <c r="E51" s="25">
        <f t="shared" si="13"/>
        <v>0.439641211024946</v>
      </c>
      <c r="F51" s="25">
        <f t="shared" si="13"/>
        <v>0.5054029576523438</v>
      </c>
      <c r="G51" s="26">
        <f t="shared" si="13"/>
        <v>0.5634678236936782</v>
      </c>
      <c r="H51" s="27">
        <f t="shared" si="13"/>
        <v>0.49984131450924824</v>
      </c>
      <c r="I51" s="27">
        <f t="shared" si="13"/>
        <v>0.48121825252626776</v>
      </c>
      <c r="J51" s="28">
        <f t="shared" si="13"/>
        <v>0.4819150165521273</v>
      </c>
      <c r="K51" s="26">
        <f t="shared" si="13"/>
        <v>0.5254052616824321</v>
      </c>
      <c r="L51" s="28">
        <f t="shared" si="13"/>
        <v>0.4634192841141986</v>
      </c>
    </row>
    <row r="52" spans="1:12" ht="11.25">
      <c r="A52" s="1" t="s">
        <v>45</v>
      </c>
      <c r="C52" s="25">
        <f aca="true" t="shared" si="14" ref="C52:L52">C12/C11</f>
        <v>0.21517584884630364</v>
      </c>
      <c r="D52" s="25">
        <f t="shared" si="14"/>
        <v>0.2032256580234453</v>
      </c>
      <c r="E52" s="25">
        <f t="shared" si="14"/>
        <v>0.2576406149193177</v>
      </c>
      <c r="F52" s="25">
        <f t="shared" si="14"/>
        <v>0.28105425566957803</v>
      </c>
      <c r="G52" s="26">
        <f t="shared" si="14"/>
        <v>0.3125992381756825</v>
      </c>
      <c r="H52" s="27">
        <f t="shared" si="14"/>
        <v>0.2895810111153938</v>
      </c>
      <c r="I52" s="27">
        <f t="shared" si="14"/>
        <v>0.30263285049111815</v>
      </c>
      <c r="J52" s="28">
        <f t="shared" si="14"/>
        <v>0.3047938243421105</v>
      </c>
      <c r="K52" s="26">
        <f t="shared" si="14"/>
        <v>0.34001851626719537</v>
      </c>
      <c r="L52" s="28">
        <f t="shared" si="14"/>
        <v>0.32042314441780567</v>
      </c>
    </row>
    <row r="53" spans="1:12" ht="11.25">
      <c r="A53" s="2" t="s">
        <v>46</v>
      </c>
      <c r="B53" s="2"/>
      <c r="C53" s="29">
        <f aca="true" t="shared" si="15" ref="C53:L53">(C12+C16)/C17</f>
        <v>0.6958753630041606</v>
      </c>
      <c r="D53" s="29">
        <f t="shared" si="15"/>
        <v>0.6497015929065163</v>
      </c>
      <c r="E53" s="29">
        <f t="shared" si="15"/>
        <v>0.9454647576954169</v>
      </c>
      <c r="F53" s="29">
        <f t="shared" si="15"/>
        <v>0.9929947411891976</v>
      </c>
      <c r="G53" s="30">
        <f t="shared" si="15"/>
        <v>1.0283324610491567</v>
      </c>
      <c r="H53" s="29">
        <f t="shared" si="15"/>
        <v>0.9588784307308613</v>
      </c>
      <c r="I53" s="29">
        <f t="shared" si="15"/>
        <v>0.8037880486466008</v>
      </c>
      <c r="J53" s="31">
        <f t="shared" si="15"/>
        <v>0.7768963571724752</v>
      </c>
      <c r="K53" s="30">
        <f t="shared" si="15"/>
        <v>0.8061294775792291</v>
      </c>
      <c r="L53" s="31">
        <f t="shared" si="15"/>
        <v>0.7095857290795569</v>
      </c>
    </row>
    <row r="54" spans="1:12" ht="11.25">
      <c r="A54" s="4" t="s">
        <v>47</v>
      </c>
      <c r="G54" s="15"/>
      <c r="H54" s="16"/>
      <c r="I54" s="16"/>
      <c r="J54" s="17"/>
      <c r="K54" s="15"/>
      <c r="L54" s="17"/>
    </row>
    <row r="55" spans="1:12" ht="11.25">
      <c r="A55" s="1" t="s">
        <v>48</v>
      </c>
      <c r="B55" s="16"/>
      <c r="C55" s="20">
        <f>(C40)/C28</f>
        <v>0.0397942593310068</v>
      </c>
      <c r="D55" s="18">
        <f>((D40)/0.75)/D28</f>
        <v>0.0489028018246856</v>
      </c>
      <c r="E55" s="18">
        <f>((E40)/0.5)/E28</f>
        <v>0.08508886115452853</v>
      </c>
      <c r="F55" s="18">
        <f>((F40)/0.25)/F28</f>
        <v>0.0326931231425903</v>
      </c>
      <c r="G55" s="19">
        <f>(G40)/G28</f>
        <v>0.018659832168988467</v>
      </c>
      <c r="H55" s="20">
        <f>((H40)/0.75)/H28</f>
        <v>0.018372030828782103</v>
      </c>
      <c r="I55" s="20">
        <f>((I40)/0.5)/I28</f>
        <v>0.017313139272958602</v>
      </c>
      <c r="J55" s="21">
        <f>((J40)/0.25)/J28</f>
        <v>0.02474018670443396</v>
      </c>
      <c r="K55" s="19">
        <f>K40/K28</f>
        <v>0.016191520881158897</v>
      </c>
      <c r="L55" s="21">
        <f>L40/L28</f>
        <v>0.02371283001897575</v>
      </c>
    </row>
    <row r="56" spans="1:12" ht="11.25">
      <c r="A56" s="1" t="s">
        <v>49</v>
      </c>
      <c r="B56" s="16"/>
      <c r="C56" s="20">
        <f>(C40)/C27</f>
        <v>0.027019269057381286</v>
      </c>
      <c r="D56" s="18">
        <f>((D40)/0.75)/D27</f>
        <v>0.03353436166303329</v>
      </c>
      <c r="E56" s="18">
        <f>((E40)/0.5)/E27</f>
        <v>0.05452797582298001</v>
      </c>
      <c r="F56" s="18">
        <f>((F40)/0.25)/F27</f>
        <v>0.020268660648473824</v>
      </c>
      <c r="G56" s="19">
        <f>(G40)/G27</f>
        <v>0.011367086149619909</v>
      </c>
      <c r="H56" s="20">
        <f>((H40)/0.75)/H27</f>
        <v>0.011527984128849604</v>
      </c>
      <c r="I56" s="20">
        <f>((I40)/0.5)/I27</f>
        <v>0.010596840968731454</v>
      </c>
      <c r="J56" s="21">
        <f>((J40)/0.25)/J27</f>
        <v>0.01539152843345316</v>
      </c>
      <c r="K56" s="19">
        <f>K40/K27</f>
        <v>0.009742979413720059</v>
      </c>
      <c r="L56" s="21">
        <f>L40/L27</f>
        <v>0.01478699291814615</v>
      </c>
    </row>
    <row r="57" spans="1:12" ht="11.25">
      <c r="A57" s="1" t="s">
        <v>50</v>
      </c>
      <c r="B57" s="16"/>
      <c r="C57" s="20">
        <f>(C40)/C31</f>
        <v>0.23822320337120959</v>
      </c>
      <c r="D57" s="18">
        <f>((D40)/0.75)/D31</f>
        <v>0.2842904606416462</v>
      </c>
      <c r="E57" s="18">
        <f>((E40)/0.5)/E31</f>
        <v>0.4679791632894517</v>
      </c>
      <c r="F57" s="18">
        <f>((F40)/0.25)/F31</f>
        <v>0.1967885801671288</v>
      </c>
      <c r="G57" s="19">
        <f>(G40)/G31</f>
        <v>0.11269316867359591</v>
      </c>
      <c r="H57" s="20">
        <f>((H40)/0.75)/H31</f>
        <v>0.11496947326067561</v>
      </c>
      <c r="I57" s="20">
        <f>((I40)/0.5)/I31</f>
        <v>0.12389326726503067</v>
      </c>
      <c r="J57" s="21">
        <f>((J40)/0.25)/J31</f>
        <v>0.17147811663588042</v>
      </c>
      <c r="K57" s="19">
        <f>K40/K31</f>
        <v>0.11130761965102674</v>
      </c>
      <c r="L57" s="21">
        <f>L40/L31</f>
        <v>0.16857218047311326</v>
      </c>
    </row>
    <row r="58" spans="1:12" ht="11.25">
      <c r="A58" s="1" t="s">
        <v>51</v>
      </c>
      <c r="B58" s="16"/>
      <c r="C58" s="20">
        <f aca="true" t="shared" si="16" ref="C58:L58">(C33)/C28</f>
        <v>0.12823781778641813</v>
      </c>
      <c r="D58" s="20">
        <f t="shared" si="16"/>
        <v>0.09664190712426661</v>
      </c>
      <c r="E58" s="20">
        <f t="shared" si="16"/>
        <v>0.09736784105601339</v>
      </c>
      <c r="F58" s="21">
        <f t="shared" si="16"/>
        <v>0.03897949718048937</v>
      </c>
      <c r="G58" s="20">
        <f t="shared" si="16"/>
        <v>0.12595685264032996</v>
      </c>
      <c r="H58" s="20">
        <f t="shared" si="16"/>
        <v>0.09124700764942184</v>
      </c>
      <c r="I58" s="20">
        <f t="shared" si="16"/>
        <v>0.06541014892783219</v>
      </c>
      <c r="J58" s="21">
        <f t="shared" si="16"/>
        <v>0.03549712067911508</v>
      </c>
      <c r="K58" s="19">
        <f t="shared" si="16"/>
        <v>0.1275034208234855</v>
      </c>
      <c r="L58" s="21">
        <f t="shared" si="16"/>
        <v>0.16693174214919546</v>
      </c>
    </row>
    <row r="59" spans="1:12" ht="11.25">
      <c r="A59" s="1" t="s">
        <v>52</v>
      </c>
      <c r="B59" s="16"/>
      <c r="C59" s="20">
        <f aca="true" t="shared" si="17" ref="C59:L59">(C34)/C28</f>
        <v>0.0794443428065295</v>
      </c>
      <c r="D59" s="20">
        <f t="shared" si="17"/>
        <v>0.05582378557130435</v>
      </c>
      <c r="E59" s="20">
        <f t="shared" si="17"/>
        <v>0.05248392871047396</v>
      </c>
      <c r="F59" s="21">
        <f t="shared" si="17"/>
        <v>0.027860580465678096</v>
      </c>
      <c r="G59" s="20">
        <f t="shared" si="17"/>
        <v>0.10099256380931385</v>
      </c>
      <c r="H59" s="20">
        <f t="shared" si="17"/>
        <v>0.07373319554620823</v>
      </c>
      <c r="I59" s="20">
        <f t="shared" si="17"/>
        <v>0.052821960987556246</v>
      </c>
      <c r="J59" s="21">
        <f t="shared" si="17"/>
        <v>0.026100983994587268</v>
      </c>
      <c r="K59" s="19">
        <f t="shared" si="17"/>
        <v>0.09871648441122256</v>
      </c>
      <c r="L59" s="21">
        <f t="shared" si="17"/>
        <v>0.09555057091774616</v>
      </c>
    </row>
    <row r="60" spans="1:12" ht="11.25">
      <c r="A60" s="1" t="s">
        <v>53</v>
      </c>
      <c r="B60" s="16"/>
      <c r="C60" s="20">
        <f aca="true" t="shared" si="18" ref="C60:L60">(C35)/C28</f>
        <v>0.04879347497988862</v>
      </c>
      <c r="D60" s="20">
        <f t="shared" si="18"/>
        <v>0.04081812155296226</v>
      </c>
      <c r="E60" s="20">
        <f t="shared" si="18"/>
        <v>0.044883912345539435</v>
      </c>
      <c r="F60" s="21">
        <f t="shared" si="18"/>
        <v>0.011118916714811269</v>
      </c>
      <c r="G60" s="20">
        <f t="shared" si="18"/>
        <v>0.024964288831016125</v>
      </c>
      <c r="H60" s="20">
        <f t="shared" si="18"/>
        <v>0.017513812103213615</v>
      </c>
      <c r="I60" s="20">
        <f t="shared" si="18"/>
        <v>0.012588187940275936</v>
      </c>
      <c r="J60" s="21">
        <f t="shared" si="18"/>
        <v>0.00939613668452781</v>
      </c>
      <c r="K60" s="19">
        <f t="shared" si="18"/>
        <v>0.028786936412262945</v>
      </c>
      <c r="L60" s="21">
        <f t="shared" si="18"/>
        <v>0.07138117123144928</v>
      </c>
    </row>
    <row r="61" spans="1:12" ht="11.25">
      <c r="A61" s="1" t="s">
        <v>54</v>
      </c>
      <c r="B61" s="16"/>
      <c r="C61" s="20">
        <f>(C38)/(C37)</f>
        <v>0.44996685501436284</v>
      </c>
      <c r="D61" s="20">
        <f>(D38/0.75)/(D37/0.75)</f>
        <v>0.36364182692307695</v>
      </c>
      <c r="E61" s="20">
        <f>(E38/0.5)/(E37/0.5)</f>
        <v>0.2911175289167754</v>
      </c>
      <c r="F61" s="21">
        <f>(F38/0.25)/(F37/0.25)</f>
        <v>0.5105576610720086</v>
      </c>
      <c r="G61" s="20">
        <f>(G38)/(G37)</f>
        <v>0.6447558718037718</v>
      </c>
      <c r="H61" s="20">
        <f>((H38)/0.75)/((H37)/0.75)</f>
        <v>0.6252435010411769</v>
      </c>
      <c r="I61" s="20">
        <f>((I38)/0.5)/((I37)/0.5)</f>
        <v>0.680202690896383</v>
      </c>
      <c r="J61" s="21">
        <f>(J38/0.25)/(J37/0.25)</f>
        <v>0.6389190493425021</v>
      </c>
      <c r="K61" s="19">
        <f>K38/K37</f>
        <v>0.7066251986534288</v>
      </c>
      <c r="L61" s="21">
        <f>L38/L37</f>
        <v>0.5562516530018513</v>
      </c>
    </row>
    <row r="62" spans="1:12" ht="11.25">
      <c r="A62" s="2" t="s">
        <v>55</v>
      </c>
      <c r="B62" s="2"/>
      <c r="C62" s="22">
        <f aca="true" t="shared" si="19" ref="C62:L62">(C36)/C28</f>
        <v>0.02399293021342909</v>
      </c>
      <c r="D62" s="22">
        <f t="shared" si="19"/>
        <v>0.01811836529169842</v>
      </c>
      <c r="E62" s="22">
        <f t="shared" si="19"/>
        <v>0.01513228542029507</v>
      </c>
      <c r="F62" s="24">
        <f t="shared" si="19"/>
        <v>0.005580253208962039</v>
      </c>
      <c r="G62" s="22">
        <f t="shared" si="19"/>
        <v>0.03855244604283503</v>
      </c>
      <c r="H62" s="22">
        <f t="shared" si="19"/>
        <v>0.024102807335021195</v>
      </c>
      <c r="I62" s="22">
        <f t="shared" si="19"/>
        <v>0.017801670990880387</v>
      </c>
      <c r="J62" s="24">
        <f t="shared" si="19"/>
        <v>0.00863687488714411</v>
      </c>
      <c r="K62" s="23">
        <f t="shared" si="19"/>
        <v>0.037389317983919305</v>
      </c>
      <c r="L62" s="24">
        <f t="shared" si="19"/>
        <v>0.011563689411971174</v>
      </c>
    </row>
    <row r="63" spans="1:12" ht="11.25">
      <c r="A63" s="4" t="s">
        <v>56</v>
      </c>
      <c r="B63" s="16"/>
      <c r="G63" s="15"/>
      <c r="H63" s="16"/>
      <c r="I63" s="16"/>
      <c r="J63" s="17"/>
      <c r="K63" s="15"/>
      <c r="L63" s="17"/>
    </row>
    <row r="64" spans="1:12" ht="11.25">
      <c r="A64" s="1" t="s">
        <v>57</v>
      </c>
      <c r="B64" s="16"/>
      <c r="C64" s="8">
        <v>1522</v>
      </c>
      <c r="D64" s="8">
        <v>1512</v>
      </c>
      <c r="E64" s="8">
        <v>990</v>
      </c>
      <c r="F64" s="8">
        <v>951</v>
      </c>
      <c r="G64" s="9">
        <v>945</v>
      </c>
      <c r="H64" s="10">
        <v>944</v>
      </c>
      <c r="I64" s="10">
        <v>936</v>
      </c>
      <c r="J64" s="11">
        <v>952</v>
      </c>
      <c r="K64" s="9">
        <v>1004</v>
      </c>
      <c r="L64" s="11">
        <v>891</v>
      </c>
    </row>
    <row r="65" spans="1:12" ht="11.25">
      <c r="A65" s="1" t="s">
        <v>58</v>
      </c>
      <c r="B65" s="16"/>
      <c r="C65" s="8">
        <v>41</v>
      </c>
      <c r="D65" s="8">
        <v>41</v>
      </c>
      <c r="E65" s="8">
        <v>29</v>
      </c>
      <c r="F65" s="8">
        <v>29</v>
      </c>
      <c r="G65" s="9">
        <v>29</v>
      </c>
      <c r="H65" s="10">
        <v>29</v>
      </c>
      <c r="I65" s="10">
        <v>27</v>
      </c>
      <c r="J65" s="11">
        <v>29</v>
      </c>
      <c r="K65" s="9">
        <v>29</v>
      </c>
      <c r="L65" s="11">
        <v>27</v>
      </c>
    </row>
    <row r="66" spans="1:12" ht="11.25">
      <c r="A66" s="1" t="s">
        <v>59</v>
      </c>
      <c r="B66" s="16"/>
      <c r="C66" s="32">
        <f aca="true" t="shared" si="20" ref="C66:L66">C13/C64</f>
        <v>960.2082785808147</v>
      </c>
      <c r="D66" s="32">
        <f t="shared" si="20"/>
        <v>974.3075396825396</v>
      </c>
      <c r="E66" s="32">
        <f t="shared" si="20"/>
        <v>691.249494949495</v>
      </c>
      <c r="F66" s="32">
        <f t="shared" si="20"/>
        <v>746.1629863301788</v>
      </c>
      <c r="G66" s="33">
        <f t="shared" si="20"/>
        <v>765.3534391534391</v>
      </c>
      <c r="H66" s="34">
        <f t="shared" si="20"/>
        <v>747.1144067796611</v>
      </c>
      <c r="I66" s="34">
        <f t="shared" si="20"/>
        <v>738.5576923076923</v>
      </c>
      <c r="J66" s="35">
        <f t="shared" si="20"/>
        <v>706.6439075630252</v>
      </c>
      <c r="K66" s="33">
        <f t="shared" si="20"/>
        <v>651.8645418326694</v>
      </c>
      <c r="L66" s="35">
        <f t="shared" si="20"/>
        <v>668.2996632996633</v>
      </c>
    </row>
    <row r="67" spans="1:12" ht="11.25">
      <c r="A67" s="1" t="s">
        <v>60</v>
      </c>
      <c r="B67" s="16"/>
      <c r="C67" s="32">
        <f aca="true" t="shared" si="21" ref="C67:L67">C17/C64</f>
        <v>1386.6708278580816</v>
      </c>
      <c r="D67" s="32">
        <f t="shared" si="21"/>
        <v>1336.57208994709</v>
      </c>
      <c r="E67" s="32">
        <f t="shared" si="21"/>
        <v>1125.7848484848485</v>
      </c>
      <c r="F67" s="32">
        <f t="shared" si="21"/>
        <v>1134.3438485804415</v>
      </c>
      <c r="G67" s="33">
        <f t="shared" si="21"/>
        <v>1156.5248677248678</v>
      </c>
      <c r="H67" s="34">
        <f t="shared" si="21"/>
        <v>1178.2447033898304</v>
      </c>
      <c r="I67" s="34">
        <f t="shared" si="21"/>
        <v>1105.4786324786326</v>
      </c>
      <c r="J67" s="35">
        <f t="shared" si="21"/>
        <v>1081.6985294117646</v>
      </c>
      <c r="K67" s="33">
        <f t="shared" si="21"/>
        <v>1033.8974103585658</v>
      </c>
      <c r="L67" s="35">
        <f t="shared" si="21"/>
        <v>1036.0987654320988</v>
      </c>
    </row>
    <row r="68" spans="1:12" ht="11.25">
      <c r="A68" s="2" t="s">
        <v>61</v>
      </c>
      <c r="B68" s="2"/>
      <c r="C68" s="36">
        <f aca="true" t="shared" si="22" ref="C68:L68">C40/C64</f>
        <v>45.51839684625493</v>
      </c>
      <c r="D68" s="36">
        <f t="shared" si="22"/>
        <v>41.092592592592595</v>
      </c>
      <c r="E68" s="36">
        <f t="shared" si="22"/>
        <v>48.843434343434346</v>
      </c>
      <c r="F68" s="36">
        <f t="shared" si="22"/>
        <v>9.505783385909568</v>
      </c>
      <c r="G68" s="37">
        <f t="shared" si="22"/>
        <v>21.495238095238093</v>
      </c>
      <c r="H68" s="36">
        <f t="shared" si="22"/>
        <v>15.664194915254237</v>
      </c>
      <c r="I68" s="36">
        <f t="shared" si="22"/>
        <v>8.708333333333334</v>
      </c>
      <c r="J68" s="38">
        <f t="shared" si="22"/>
        <v>5.972689075630252</v>
      </c>
      <c r="K68" s="37">
        <f t="shared" si="22"/>
        <v>14.260956175298805</v>
      </c>
      <c r="L68" s="38">
        <f t="shared" si="22"/>
        <v>19.410774410774412</v>
      </c>
    </row>
    <row r="69" spans="1:12" ht="11.25">
      <c r="A69" s="4" t="s">
        <v>62</v>
      </c>
      <c r="B69" s="16"/>
      <c r="G69" s="15"/>
      <c r="H69" s="16"/>
      <c r="I69" s="16"/>
      <c r="J69" s="17"/>
      <c r="K69" s="15"/>
      <c r="L69" s="17"/>
    </row>
    <row r="70" spans="1:12" ht="11.25">
      <c r="A70" s="1" t="s">
        <v>63</v>
      </c>
      <c r="B70" s="16"/>
      <c r="C70" s="18">
        <f>(C11-G11)/G11</f>
        <v>0.6030950128121307</v>
      </c>
      <c r="D70" s="18">
        <f>(D11-H11)/H11</f>
        <v>0.5735017136666215</v>
      </c>
      <c r="E70" s="18">
        <f>(E11-I11)/I11</f>
        <v>0.15590578650930786</v>
      </c>
      <c r="F70" s="18">
        <f>(F11-J11)/J11</f>
        <v>0.19142131889283803</v>
      </c>
      <c r="G70" s="19">
        <f>(G11-K11)/K11</f>
        <v>0.2281883671707206</v>
      </c>
      <c r="H70" s="20">
        <f>(H11-1500686)/1500686</f>
        <v>0.279321590259388</v>
      </c>
      <c r="I70" s="20">
        <f>(I11-1431439)/1431439</f>
        <v>0.1494216658900589</v>
      </c>
      <c r="J70" s="21">
        <f>(J11-1327194)/1327194</f>
        <v>0.22679804158246647</v>
      </c>
      <c r="K70" s="19">
        <f>(K11-L11)/L11</f>
        <v>0.2013620972072738</v>
      </c>
      <c r="L70" s="21">
        <f>(L11-1004074)/1004074</f>
        <v>0.3297296812784715</v>
      </c>
    </row>
    <row r="71" spans="1:12" ht="11.25">
      <c r="A71" s="1" t="s">
        <v>64</v>
      </c>
      <c r="B71" s="16"/>
      <c r="C71" s="18">
        <f aca="true" t="shared" si="23" ref="C71:E73">(C13-G13)/G13</f>
        <v>1.0206274654031267</v>
      </c>
      <c r="D71" s="18">
        <f t="shared" si="23"/>
        <v>1.0887609956953022</v>
      </c>
      <c r="E71" s="18">
        <f t="shared" si="23"/>
        <v>-0.010058007493237282</v>
      </c>
      <c r="F71" s="18">
        <f>F13/J13-1</f>
        <v>0.054815860864394717</v>
      </c>
      <c r="G71" s="19">
        <f>G13/K13-1</f>
        <v>0.10510304489726074</v>
      </c>
      <c r="H71" s="20">
        <f>H13/636989-1</f>
        <v>0.10720279314085479</v>
      </c>
      <c r="I71" s="20">
        <f>I13/636015-1</f>
        <v>0.08690832763378231</v>
      </c>
      <c r="J71" s="21">
        <f>J13/632447-1</f>
        <v>0.06368596894285217</v>
      </c>
      <c r="K71" s="19">
        <f>K13/L13-1</f>
        <v>0.09911244342561565</v>
      </c>
      <c r="L71" s="21">
        <f>L13/516720-1</f>
        <v>0.1523745935903391</v>
      </c>
    </row>
    <row r="72" spans="2:12" ht="11.25">
      <c r="B72" s="16" t="s">
        <v>15</v>
      </c>
      <c r="C72" s="18">
        <f t="shared" si="23"/>
        <v>1.0403443982526854</v>
      </c>
      <c r="D72" s="18">
        <f t="shared" si="23"/>
        <v>1.1011770804086305</v>
      </c>
      <c r="E72" s="18">
        <f t="shared" si="23"/>
        <v>-0.0147227108167512</v>
      </c>
      <c r="F72" s="18">
        <f>(F14-J14)/J14</f>
        <v>0.05798874554063598</v>
      </c>
      <c r="G72" s="19">
        <f>(G14-K14)/K14</f>
        <v>0.10449252437231765</v>
      </c>
      <c r="H72" s="20">
        <f>(H14-625518)/625518</f>
        <v>0.11030378022694791</v>
      </c>
      <c r="I72" s="20">
        <f>(I14-625247)/625247</f>
        <v>0.09295366471170594</v>
      </c>
      <c r="J72" s="21">
        <f>(J14-621564)/621564</f>
        <v>0.06384700529631704</v>
      </c>
      <c r="K72" s="19">
        <f>(K14-L14)/L14</f>
        <v>0.10332046385000994</v>
      </c>
      <c r="L72" s="21">
        <f>(L14-510225)/510225</f>
        <v>0.14320544857660836</v>
      </c>
    </row>
    <row r="73" spans="2:12" ht="11.25">
      <c r="B73" s="16" t="s">
        <v>16</v>
      </c>
      <c r="C73" s="20">
        <f t="shared" si="23"/>
        <v>-0.10470531556126546</v>
      </c>
      <c r="D73" s="18">
        <f t="shared" si="23"/>
        <v>0.28742681906885975</v>
      </c>
      <c r="E73" s="18">
        <f t="shared" si="23"/>
        <v>0.392226148409894</v>
      </c>
      <c r="F73" s="18">
        <f>(F15-J15)/J15</f>
        <v>-0.12800627396305334</v>
      </c>
      <c r="G73" s="19">
        <f>(G15-K15)/K15</f>
        <v>0.14110317024005864</v>
      </c>
      <c r="H73" s="20">
        <f>(H15-11471)/11471</f>
        <v>-0.061895214017958326</v>
      </c>
      <c r="I73" s="20">
        <f>(I15-10767)/10767</f>
        <v>-0.26404755270734653</v>
      </c>
      <c r="J73" s="21">
        <f>(J15-10884)/10884</f>
        <v>0.0543917677324513</v>
      </c>
      <c r="K73" s="19">
        <f>(K15-L15)/L15</f>
        <v>-0.10268848146016608</v>
      </c>
      <c r="L73" s="21">
        <f>(L15-6495)/6495</f>
        <v>0.872671285604311</v>
      </c>
    </row>
    <row r="74" spans="1:12" ht="11.25">
      <c r="A74" s="1" t="s">
        <v>65</v>
      </c>
      <c r="B74" s="16"/>
      <c r="C74" s="18">
        <f aca="true" t="shared" si="24" ref="C74:E75">(C17-G17)/G17</f>
        <v>0.9310843651296166</v>
      </c>
      <c r="D74" s="18">
        <f t="shared" si="24"/>
        <v>0.8169236952051808</v>
      </c>
      <c r="E74" s="18">
        <f t="shared" si="24"/>
        <v>0.07712075057406391</v>
      </c>
      <c r="F74" s="18">
        <f>F17/J17-1</f>
        <v>0.047567580165414514</v>
      </c>
      <c r="G74" s="19">
        <f>G17/K17-1</f>
        <v>0.05287211485569343</v>
      </c>
      <c r="H74" s="20">
        <f>H17/1037392-1</f>
        <v>0.07217233215602192</v>
      </c>
      <c r="I74" s="20">
        <f>I17/1001411-1</f>
        <v>0.033270055951053035</v>
      </c>
      <c r="J74" s="21">
        <f>J17/926255-1</f>
        <v>0.1117640390605179</v>
      </c>
      <c r="K74" s="19">
        <f>K17/L17-1</f>
        <v>0.12442967880029987</v>
      </c>
      <c r="L74" s="21">
        <f>L17/827951-1</f>
        <v>0.11499835135171033</v>
      </c>
    </row>
    <row r="75" spans="2:12" ht="11.25">
      <c r="B75" s="16" t="s">
        <v>15</v>
      </c>
      <c r="C75" s="18">
        <f t="shared" si="24"/>
        <v>0.9394444674983684</v>
      </c>
      <c r="D75" s="18">
        <f t="shared" si="24"/>
        <v>0.8499148788081152</v>
      </c>
      <c r="E75" s="18">
        <f t="shared" si="24"/>
        <v>0.07882201613447477</v>
      </c>
      <c r="F75" s="18">
        <f>(F18-J18)/J18</f>
        <v>0.08052184541701485</v>
      </c>
      <c r="G75" s="19">
        <f>(G18-K18)/K18</f>
        <v>0.09369107690276476</v>
      </c>
      <c r="H75" s="20">
        <f>(H18-940411)/940411</f>
        <v>0.13055887266312283</v>
      </c>
      <c r="I75" s="20">
        <f>(I18-899626)/899626</f>
        <v>0.10354858574563207</v>
      </c>
      <c r="J75" s="21">
        <f>(J18-818427)/818427</f>
        <v>0.17557705207672766</v>
      </c>
      <c r="K75" s="19">
        <f>(K18-L18)/L18</f>
        <v>0.1554709083498006</v>
      </c>
      <c r="L75" s="21">
        <f>(L18-659100)/659100</f>
        <v>0.2730056137156729</v>
      </c>
    </row>
    <row r="76" spans="2:12" ht="11.25">
      <c r="B76" s="16" t="s">
        <v>16</v>
      </c>
      <c r="C76" s="18">
        <f>(C22-G22)/G22</f>
        <v>0.6591717791411043</v>
      </c>
      <c r="D76" s="18">
        <f>(D22-H22)/H22</f>
        <v>0.10215393393515783</v>
      </c>
      <c r="E76" s="18">
        <f>(E22-I22)/I22</f>
        <v>0.036856032612582544</v>
      </c>
      <c r="F76" s="18">
        <f>(F22-J22)/J22</f>
        <v>-0.4210899738370804</v>
      </c>
      <c r="G76" s="19">
        <f>(G22-K22)/K22</f>
        <v>-0.5244277815868941</v>
      </c>
      <c r="H76" s="20">
        <f>(H22-96981)/96981</f>
        <v>-0.49399366886297313</v>
      </c>
      <c r="I76" s="20">
        <f>(I22-101784)/101784</f>
        <v>-0.5878821818753439</v>
      </c>
      <c r="J76" s="21">
        <f>(J22-107828)/107828</f>
        <v>-0.3725841154431131</v>
      </c>
      <c r="K76" s="19">
        <f>(K22-L22)/L22</f>
        <v>-0.1851627320923377</v>
      </c>
      <c r="L76" s="21">
        <f>(L22-168852)/168852</f>
        <v>-0.5017767038590008</v>
      </c>
    </row>
    <row r="77" spans="1:12" ht="11.25">
      <c r="A77" s="1" t="s">
        <v>66</v>
      </c>
      <c r="C77" s="18">
        <f>C25/G25-1</f>
        <v>0.5936606748687854</v>
      </c>
      <c r="D77" s="18">
        <f>D25/H25-1</f>
        <v>0.5818588579276127</v>
      </c>
      <c r="E77" s="18">
        <f>E25/I25-1</f>
        <v>0.7963127093129461</v>
      </c>
      <c r="F77" s="18">
        <f>(F25-J25)/J25</f>
        <v>0.5285954120739242</v>
      </c>
      <c r="G77" s="19">
        <f>(G25-K25)/K25</f>
        <v>0.6458788990825688</v>
      </c>
      <c r="H77" s="20">
        <f>(H25-117248)/117248</f>
        <v>0.9252353984716157</v>
      </c>
      <c r="I77" s="20">
        <f>(I25-115358)/115358</f>
        <v>0.28127221345723746</v>
      </c>
      <c r="J77" s="21">
        <f>(J25-119934)/119934</f>
        <v>0.21181649907449096</v>
      </c>
      <c r="K77" s="19">
        <f>(K25-L25)/L25</f>
        <v>0.12585627050297887</v>
      </c>
      <c r="L77" s="21">
        <f>(L25-84176)/84176</f>
        <v>0.4376900779319521</v>
      </c>
    </row>
    <row r="78" spans="1:12" ht="11.25">
      <c r="A78" s="2" t="s">
        <v>67</v>
      </c>
      <c r="B78" s="2"/>
      <c r="C78" s="22">
        <f>(C40-G40)/G40</f>
        <v>2.4105745089351647</v>
      </c>
      <c r="D78" s="22">
        <f>(D40-H40)/H40</f>
        <v>3.201798877392304</v>
      </c>
      <c r="E78" s="22">
        <f>(E40-I40)/I40</f>
        <v>4.932400932400933</v>
      </c>
      <c r="F78" s="22">
        <f>F40/J40-1</f>
        <v>0.5898698557861415</v>
      </c>
      <c r="G78" s="23">
        <f>G40/K40-1</f>
        <v>0.4187037295711691</v>
      </c>
      <c r="H78" s="22">
        <f>H40/7926-1</f>
        <v>0.8656320968962907</v>
      </c>
      <c r="I78" s="22">
        <f>I40/7175-1</f>
        <v>0.13602787456445986</v>
      </c>
      <c r="J78" s="24">
        <f>J40/5698-1</f>
        <v>-0.0021060021060020917</v>
      </c>
      <c r="K78" s="23">
        <f>K40/L40-1</f>
        <v>-0.17213067360508816</v>
      </c>
      <c r="L78" s="24">
        <f>(L40-15448)/15448</f>
        <v>0.11956240290005178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6165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2002-03-22T21:21:07Z</cp:lastPrinted>
  <dcterms:created xsi:type="dcterms:W3CDTF">2002-03-19T15:09:43Z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