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olat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<sst xmlns="http://schemas.openxmlformats.org/spreadsheetml/2006/main" count="84" uniqueCount="68">
  <si>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18-13</t>
  </si>
  <si>
    <t>BANCO DE LATINOAMERICA, S.A.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</si>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</sst>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28125" style="1" customWidth="1"/>
    <col min="2" max="2" width="40.57421875" style="1" customWidth="1"/>
    <col min="3" max="3" width="8.7109375" style="1" customWidth="1"/>
    <col min="4" max="4" width="9.57421875" style="1" customWidth="1"/>
    <col min="5" max="6" width="8.140625" style="1" bestFit="1" customWidth="1"/>
    <col min="7" max="7" width="8.8515625" style="1" customWidth="1"/>
    <col min="8" max="8" width="9.7109375" style="1" customWidth="1"/>
    <col min="9" max="11" width="8.14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/>
      <c r="F2" s="40" t="s">
        <v>0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6" t="s">
        <v>4</v>
      </c>
      <c r="L8" s="48"/>
    </row>
    <row r="9" spans="1:12" s="4" customFormat="1" ht="11.25">
      <c r="A9" s="41"/>
      <c r="B9" s="41"/>
      <c r="C9" s="41" t="s">
        <v>5</v>
      </c>
      <c r="D9" s="41" t="s">
        <v>6</v>
      </c>
      <c r="E9" s="41" t="s">
        <v>7</v>
      </c>
      <c r="F9" s="41" t="s">
        <v>8</v>
      </c>
      <c r="G9" s="42" t="s">
        <v>5</v>
      </c>
      <c r="H9" s="41" t="s">
        <v>6</v>
      </c>
      <c r="I9" s="41" t="s">
        <v>7</v>
      </c>
      <c r="J9" s="43" t="s">
        <v>8</v>
      </c>
      <c r="K9" s="44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432175</v>
      </c>
      <c r="D11" s="8">
        <v>424154</v>
      </c>
      <c r="E11" s="8">
        <v>414776</v>
      </c>
      <c r="F11" s="8">
        <v>409296</v>
      </c>
      <c r="G11" s="9">
        <v>422064</v>
      </c>
      <c r="H11" s="10">
        <v>396685</v>
      </c>
      <c r="I11" s="10">
        <v>411434</v>
      </c>
      <c r="J11" s="11">
        <v>408201</v>
      </c>
      <c r="K11" s="9">
        <v>416266</v>
      </c>
      <c r="L11" s="11">
        <v>338936</v>
      </c>
    </row>
    <row r="12" spans="1:12" ht="11.25">
      <c r="A12" s="1" t="s">
        <v>13</v>
      </c>
      <c r="C12" s="8">
        <v>76106</v>
      </c>
      <c r="D12" s="8">
        <v>63469</v>
      </c>
      <c r="E12" s="8">
        <v>70423</v>
      </c>
      <c r="F12" s="8">
        <v>64199</v>
      </c>
      <c r="G12" s="9">
        <v>87461</v>
      </c>
      <c r="H12" s="10">
        <v>60488</v>
      </c>
      <c r="I12" s="10">
        <v>77571</v>
      </c>
      <c r="J12" s="11">
        <v>81157</v>
      </c>
      <c r="K12" s="9">
        <v>103246</v>
      </c>
      <c r="L12" s="11">
        <v>58828</v>
      </c>
    </row>
    <row r="13" spans="1:12" ht="11.25">
      <c r="A13" s="1" t="s">
        <v>14</v>
      </c>
      <c r="C13" s="8">
        <f aca="true" t="shared" si="0" ref="C13:L13">C14+C15</f>
        <v>275200</v>
      </c>
      <c r="D13" s="8">
        <f t="shared" si="0"/>
        <v>274341</v>
      </c>
      <c r="E13" s="8">
        <f t="shared" si="0"/>
        <v>262113</v>
      </c>
      <c r="F13" s="8">
        <f t="shared" si="0"/>
        <v>261850</v>
      </c>
      <c r="G13" s="9">
        <f t="shared" si="0"/>
        <v>249465</v>
      </c>
      <c r="H13" s="10">
        <f t="shared" si="0"/>
        <v>249186</v>
      </c>
      <c r="I13" s="10">
        <f t="shared" si="0"/>
        <v>242441</v>
      </c>
      <c r="J13" s="11">
        <f t="shared" si="0"/>
        <v>237475</v>
      </c>
      <c r="K13" s="9">
        <f t="shared" si="0"/>
        <v>238495</v>
      </c>
      <c r="L13" s="11">
        <f t="shared" si="0"/>
        <v>225210</v>
      </c>
    </row>
    <row r="14" spans="2:12" ht="11.25">
      <c r="B14" s="1" t="s">
        <v>15</v>
      </c>
      <c r="C14" s="8">
        <v>273278</v>
      </c>
      <c r="D14" s="8">
        <v>272475</v>
      </c>
      <c r="E14" s="8">
        <v>259877</v>
      </c>
      <c r="F14" s="8">
        <v>259989</v>
      </c>
      <c r="G14" s="9">
        <v>248272</v>
      </c>
      <c r="H14" s="10">
        <v>246332</v>
      </c>
      <c r="I14" s="10">
        <v>239340</v>
      </c>
      <c r="J14" s="11">
        <v>234636</v>
      </c>
      <c r="K14" s="9">
        <v>235504</v>
      </c>
      <c r="L14" s="11">
        <v>219728</v>
      </c>
    </row>
    <row r="15" spans="2:12" ht="11.25">
      <c r="B15" s="1" t="s">
        <v>16</v>
      </c>
      <c r="C15" s="8">
        <v>1922</v>
      </c>
      <c r="D15" s="8">
        <v>1866</v>
      </c>
      <c r="E15" s="8">
        <v>2236</v>
      </c>
      <c r="F15" s="8">
        <v>1861</v>
      </c>
      <c r="G15" s="9">
        <v>1193</v>
      </c>
      <c r="H15" s="10">
        <v>2854</v>
      </c>
      <c r="I15" s="10">
        <v>3101</v>
      </c>
      <c r="J15" s="11">
        <v>2839</v>
      </c>
      <c r="K15" s="9">
        <v>2991</v>
      </c>
      <c r="L15" s="11">
        <v>5482</v>
      </c>
    </row>
    <row r="16" spans="1:12" ht="11.25">
      <c r="A16" s="1" t="s">
        <v>17</v>
      </c>
      <c r="C16" s="8">
        <v>66064</v>
      </c>
      <c r="D16" s="8">
        <v>70574</v>
      </c>
      <c r="E16" s="8">
        <v>66992</v>
      </c>
      <c r="F16" s="8">
        <v>68886</v>
      </c>
      <c r="G16" s="9">
        <v>70896</v>
      </c>
      <c r="H16" s="10">
        <v>73109</v>
      </c>
      <c r="I16" s="10">
        <v>78571</v>
      </c>
      <c r="J16" s="11">
        <v>77696</v>
      </c>
      <c r="K16" s="9">
        <v>62866</v>
      </c>
      <c r="L16" s="11">
        <v>46471</v>
      </c>
    </row>
    <row r="17" spans="1:12" ht="11.25">
      <c r="A17" s="1" t="s">
        <v>18</v>
      </c>
      <c r="C17" s="8">
        <f aca="true" t="shared" si="1" ref="C17:L17">C18+C22</f>
        <v>323274</v>
      </c>
      <c r="D17" s="8">
        <f t="shared" si="1"/>
        <v>312887</v>
      </c>
      <c r="E17" s="8">
        <f t="shared" si="1"/>
        <v>308068</v>
      </c>
      <c r="F17" s="8">
        <f t="shared" si="1"/>
        <v>295384</v>
      </c>
      <c r="G17" s="9">
        <f t="shared" si="1"/>
        <v>273411</v>
      </c>
      <c r="H17" s="10">
        <f t="shared" si="1"/>
        <v>277774</v>
      </c>
      <c r="I17" s="10">
        <f t="shared" si="1"/>
        <v>281578</v>
      </c>
      <c r="J17" s="11">
        <f t="shared" si="1"/>
        <v>278594</v>
      </c>
      <c r="K17" s="9">
        <f t="shared" si="1"/>
        <v>277180</v>
      </c>
      <c r="L17" s="11">
        <f t="shared" si="1"/>
        <v>234737</v>
      </c>
    </row>
    <row r="18" spans="2:12" ht="11.25">
      <c r="B18" s="1" t="s">
        <v>15</v>
      </c>
      <c r="C18" s="8">
        <f>SUM(C19:C21)</f>
        <v>305138</v>
      </c>
      <c r="D18" s="8">
        <f>SUM(D19:D21)</f>
        <v>296674</v>
      </c>
      <c r="E18" s="8">
        <f>SUM(E19:E21)</f>
        <v>292761</v>
      </c>
      <c r="F18" s="8">
        <f>SUM(F19:F21)</f>
        <v>279852</v>
      </c>
      <c r="G18" s="9">
        <f>SUM(G19:G20)</f>
        <v>255355</v>
      </c>
      <c r="H18" s="10">
        <f>SUM(H19:H21)</f>
        <v>259035</v>
      </c>
      <c r="I18" s="10">
        <f>SUM(I19:I21)</f>
        <v>257647</v>
      </c>
      <c r="J18" s="11">
        <f>SUM(J19:J21)</f>
        <v>253669</v>
      </c>
      <c r="K18" s="9">
        <f>SUM(K19:K21)</f>
        <v>261775</v>
      </c>
      <c r="L18" s="11">
        <f>SUM(L19:L21)</f>
        <v>219950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11">
        <v>0</v>
      </c>
      <c r="G19" s="8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293941</v>
      </c>
      <c r="D20" s="8">
        <v>283508</v>
      </c>
      <c r="E20" s="8">
        <v>280746</v>
      </c>
      <c r="F20" s="8">
        <v>264526</v>
      </c>
      <c r="G20" s="9">
        <v>255355</v>
      </c>
      <c r="H20" s="10">
        <v>254873</v>
      </c>
      <c r="I20" s="10">
        <v>250517</v>
      </c>
      <c r="J20" s="11">
        <v>249298</v>
      </c>
      <c r="K20" s="9">
        <v>244175</v>
      </c>
      <c r="L20" s="11">
        <v>210588</v>
      </c>
    </row>
    <row r="21" spans="2:12" ht="11.25">
      <c r="B21" s="1" t="s">
        <v>21</v>
      </c>
      <c r="C21" s="8">
        <v>11197</v>
      </c>
      <c r="D21" s="8">
        <v>13166</v>
      </c>
      <c r="E21" s="8">
        <v>12015</v>
      </c>
      <c r="F21" s="8">
        <v>15326</v>
      </c>
      <c r="G21" s="9">
        <v>19794</v>
      </c>
      <c r="H21" s="10">
        <v>4162</v>
      </c>
      <c r="I21" s="10">
        <v>7130</v>
      </c>
      <c r="J21" s="11">
        <v>4371</v>
      </c>
      <c r="K21" s="9">
        <v>17600</v>
      </c>
      <c r="L21" s="11">
        <v>9362</v>
      </c>
    </row>
    <row r="22" spans="2:12" ht="11.25">
      <c r="B22" s="1" t="s">
        <v>16</v>
      </c>
      <c r="C22" s="8">
        <f aca="true" t="shared" si="2" ref="C22:L22">SUM(C23:C24)</f>
        <v>18136</v>
      </c>
      <c r="D22" s="8">
        <f t="shared" si="2"/>
        <v>16213</v>
      </c>
      <c r="E22" s="8">
        <f t="shared" si="2"/>
        <v>15307</v>
      </c>
      <c r="F22" s="8">
        <f t="shared" si="2"/>
        <v>15532</v>
      </c>
      <c r="G22" s="9">
        <f t="shared" si="2"/>
        <v>18056</v>
      </c>
      <c r="H22" s="10">
        <f t="shared" si="2"/>
        <v>18739</v>
      </c>
      <c r="I22" s="10">
        <f t="shared" si="2"/>
        <v>23931</v>
      </c>
      <c r="J22" s="11">
        <f t="shared" si="2"/>
        <v>24925</v>
      </c>
      <c r="K22" s="9">
        <f t="shared" si="2"/>
        <v>15405</v>
      </c>
      <c r="L22" s="11">
        <f t="shared" si="2"/>
        <v>14787</v>
      </c>
    </row>
    <row r="23" spans="2:12" ht="11.25">
      <c r="B23" s="1" t="s">
        <v>20</v>
      </c>
      <c r="C23" s="8">
        <v>12734</v>
      </c>
      <c r="D23" s="8">
        <v>12758</v>
      </c>
      <c r="E23" s="8">
        <v>11989</v>
      </c>
      <c r="F23" s="8">
        <v>11518</v>
      </c>
      <c r="G23" s="9">
        <v>12947</v>
      </c>
      <c r="H23" s="10">
        <v>13849</v>
      </c>
      <c r="I23" s="10">
        <v>15146</v>
      </c>
      <c r="J23" s="11">
        <v>15235</v>
      </c>
      <c r="K23" s="9">
        <v>14613</v>
      </c>
      <c r="L23" s="11">
        <v>14213</v>
      </c>
    </row>
    <row r="24" spans="2:12" ht="11.25">
      <c r="B24" s="1" t="s">
        <v>21</v>
      </c>
      <c r="C24" s="8">
        <v>5402</v>
      </c>
      <c r="D24" s="8">
        <v>3455</v>
      </c>
      <c r="E24" s="8">
        <v>3318</v>
      </c>
      <c r="F24" s="8">
        <v>4014</v>
      </c>
      <c r="G24" s="9">
        <v>5109</v>
      </c>
      <c r="H24" s="10">
        <v>4890</v>
      </c>
      <c r="I24" s="10">
        <v>8785</v>
      </c>
      <c r="J24" s="11">
        <v>9690</v>
      </c>
      <c r="K24" s="9">
        <v>792</v>
      </c>
      <c r="L24" s="11">
        <v>574</v>
      </c>
    </row>
    <row r="25" spans="1:12" ht="11.25">
      <c r="A25" s="2" t="s">
        <v>22</v>
      </c>
      <c r="B25" s="2"/>
      <c r="C25" s="12">
        <v>42766</v>
      </c>
      <c r="D25" s="12">
        <v>43608</v>
      </c>
      <c r="E25" s="12">
        <v>42971</v>
      </c>
      <c r="F25" s="12">
        <v>42644</v>
      </c>
      <c r="G25" s="13">
        <v>42172</v>
      </c>
      <c r="H25" s="12">
        <v>43099</v>
      </c>
      <c r="I25" s="12">
        <v>42592</v>
      </c>
      <c r="J25" s="14">
        <v>42357</v>
      </c>
      <c r="K25" s="13">
        <v>42489</v>
      </c>
      <c r="L25" s="14">
        <v>32088</v>
      </c>
    </row>
    <row r="26" spans="1:12" ht="11.25">
      <c r="A26" s="4" t="s">
        <v>23</v>
      </c>
      <c r="C26" s="8"/>
      <c r="D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427119.5</v>
      </c>
      <c r="D27" s="8">
        <f>(D11+H11)/2</f>
        <v>410419.5</v>
      </c>
      <c r="E27" s="8">
        <f>(E11+I11)/2</f>
        <v>413105</v>
      </c>
      <c r="F27" s="8">
        <f>+(F11+J11)/2</f>
        <v>408748.5</v>
      </c>
      <c r="G27" s="9">
        <f>+(G11+K11)/2</f>
        <v>419165</v>
      </c>
      <c r="H27" s="10">
        <f>+(H11+L11)/2</f>
        <v>367810.5</v>
      </c>
      <c r="I27" s="10">
        <v>392366</v>
      </c>
      <c r="J27" s="11">
        <v>379209</v>
      </c>
      <c r="K27" s="9">
        <f>(K11+L11)/2</f>
        <v>377601</v>
      </c>
      <c r="L27" s="11">
        <v>299121</v>
      </c>
    </row>
    <row r="28" spans="1:12" ht="11.25">
      <c r="A28" s="1" t="s">
        <v>24</v>
      </c>
      <c r="C28" s="8">
        <f aca="true" t="shared" si="3" ref="C28:L28">C29+C30</f>
        <v>330812.5</v>
      </c>
      <c r="D28" s="8">
        <f t="shared" si="3"/>
        <v>333605</v>
      </c>
      <c r="E28" s="8">
        <f t="shared" si="3"/>
        <v>325058.5</v>
      </c>
      <c r="F28" s="8">
        <f t="shared" si="3"/>
        <v>322953.5</v>
      </c>
      <c r="G28" s="9">
        <f t="shared" si="3"/>
        <v>310861</v>
      </c>
      <c r="H28" s="10">
        <f t="shared" si="3"/>
        <v>296988</v>
      </c>
      <c r="I28" s="10">
        <f t="shared" si="3"/>
        <v>297766</v>
      </c>
      <c r="J28" s="11">
        <f t="shared" si="3"/>
        <v>303159</v>
      </c>
      <c r="K28" s="9">
        <f t="shared" si="3"/>
        <v>286521</v>
      </c>
      <c r="L28" s="11">
        <f t="shared" si="3"/>
        <v>241359</v>
      </c>
    </row>
    <row r="29" spans="2:12" ht="11.25">
      <c r="B29" s="1" t="s">
        <v>14</v>
      </c>
      <c r="C29" s="8">
        <f>(C13+G13)/2</f>
        <v>262332.5</v>
      </c>
      <c r="D29" s="8">
        <f>(D13+H13)/2</f>
        <v>261763.5</v>
      </c>
      <c r="E29" s="8">
        <f>(E13+I13)/2</f>
        <v>252277</v>
      </c>
      <c r="F29" s="8">
        <f>+(F13+J13)/2</f>
        <v>249662.5</v>
      </c>
      <c r="G29" s="9">
        <f>+(G13+K13)/2</f>
        <v>243980</v>
      </c>
      <c r="H29" s="10">
        <f>+(H13+L13)/2</f>
        <v>237198</v>
      </c>
      <c r="I29" s="10">
        <v>227829</v>
      </c>
      <c r="J29" s="11">
        <v>236157</v>
      </c>
      <c r="K29" s="9">
        <f>(K13+L13)/2</f>
        <v>231852.5</v>
      </c>
      <c r="L29" s="11">
        <v>197984</v>
      </c>
    </row>
    <row r="30" spans="2:12" ht="11.25">
      <c r="B30" s="1" t="s">
        <v>17</v>
      </c>
      <c r="C30" s="8">
        <f>(C16+G16)/2</f>
        <v>68480</v>
      </c>
      <c r="D30" s="8">
        <f>(D16+H16)/2</f>
        <v>71841.5</v>
      </c>
      <c r="E30" s="8">
        <f>(E16+I16)/2</f>
        <v>72781.5</v>
      </c>
      <c r="F30" s="8">
        <f>+(F16+J16)/2</f>
        <v>73291</v>
      </c>
      <c r="G30" s="9">
        <f>+(G16+K16)/2</f>
        <v>66881</v>
      </c>
      <c r="H30" s="10">
        <f>+(H16+L16)/2</f>
        <v>59790</v>
      </c>
      <c r="I30" s="10">
        <v>69937</v>
      </c>
      <c r="J30" s="11">
        <v>67002</v>
      </c>
      <c r="K30" s="9">
        <f>(K16+L16)/2</f>
        <v>54668.5</v>
      </c>
      <c r="L30" s="11">
        <v>43375</v>
      </c>
    </row>
    <row r="31" spans="1:12" ht="11.25">
      <c r="A31" s="2" t="s">
        <v>22</v>
      </c>
      <c r="B31" s="2"/>
      <c r="C31" s="12">
        <f>(C25+G25)/2</f>
        <v>42469</v>
      </c>
      <c r="D31" s="12">
        <f>(D25+H25)/2</f>
        <v>43353.5</v>
      </c>
      <c r="E31" s="12">
        <f>(E25+I25)/2</f>
        <v>42781.5</v>
      </c>
      <c r="F31" s="12">
        <f>+(F25+J25)/2</f>
        <v>42500.5</v>
      </c>
      <c r="G31" s="13">
        <f>+(G25+K25)/2</f>
        <v>42330.5</v>
      </c>
      <c r="H31" s="12">
        <f>+(H25+L25)/2</f>
        <v>37593.5</v>
      </c>
      <c r="I31" s="12">
        <v>42236</v>
      </c>
      <c r="J31" s="14">
        <v>41001</v>
      </c>
      <c r="K31" s="13">
        <f>(K25+L25)/2</f>
        <v>37288.5</v>
      </c>
      <c r="L31" s="14">
        <v>25424</v>
      </c>
    </row>
    <row r="32" spans="1:12" ht="11.25">
      <c r="A32" s="4" t="s">
        <v>25</v>
      </c>
      <c r="C32" s="8"/>
      <c r="D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34424</v>
      </c>
      <c r="D33" s="8">
        <v>26716</v>
      </c>
      <c r="E33" s="8">
        <v>17773</v>
      </c>
      <c r="F33" s="8">
        <v>8930</v>
      </c>
      <c r="G33" s="9">
        <v>36367</v>
      </c>
      <c r="H33" s="10">
        <v>27046</v>
      </c>
      <c r="I33" s="10">
        <v>17780</v>
      </c>
      <c r="J33" s="11">
        <v>8720</v>
      </c>
      <c r="K33" s="9">
        <v>33864</v>
      </c>
      <c r="L33" s="11">
        <v>28422</v>
      </c>
    </row>
    <row r="34" spans="1:12" ht="11.25">
      <c r="A34" s="1" t="s">
        <v>27</v>
      </c>
      <c r="C34" s="8">
        <v>25850</v>
      </c>
      <c r="D34" s="8">
        <v>19603</v>
      </c>
      <c r="E34" s="8">
        <v>13184</v>
      </c>
      <c r="F34" s="8">
        <v>6631</v>
      </c>
      <c r="G34" s="9">
        <v>26468</v>
      </c>
      <c r="H34" s="10">
        <v>19815</v>
      </c>
      <c r="I34" s="10">
        <v>13199</v>
      </c>
      <c r="J34" s="11">
        <v>6753</v>
      </c>
      <c r="K34" s="9">
        <v>25634</v>
      </c>
      <c r="L34" s="11">
        <v>22958</v>
      </c>
    </row>
    <row r="35" spans="1:12" ht="11.25">
      <c r="A35" s="1" t="s">
        <v>28</v>
      </c>
      <c r="C35" s="8">
        <f aca="true" t="shared" si="4" ref="C35:L35">C33-C34</f>
        <v>8574</v>
      </c>
      <c r="D35" s="8">
        <f t="shared" si="4"/>
        <v>7113</v>
      </c>
      <c r="E35" s="8">
        <f t="shared" si="4"/>
        <v>4589</v>
      </c>
      <c r="F35" s="8">
        <f t="shared" si="4"/>
        <v>2299</v>
      </c>
      <c r="G35" s="9">
        <f t="shared" si="4"/>
        <v>9899</v>
      </c>
      <c r="H35" s="10">
        <f t="shared" si="4"/>
        <v>7231</v>
      </c>
      <c r="I35" s="10">
        <f t="shared" si="4"/>
        <v>4581</v>
      </c>
      <c r="J35" s="11">
        <f t="shared" si="4"/>
        <v>1967</v>
      </c>
      <c r="K35" s="9">
        <f t="shared" si="4"/>
        <v>8230</v>
      </c>
      <c r="L35" s="11">
        <f t="shared" si="4"/>
        <v>5464</v>
      </c>
    </row>
    <row r="36" spans="1:12" ht="11.25">
      <c r="A36" s="1" t="s">
        <v>29</v>
      </c>
      <c r="C36" s="8">
        <v>7089</v>
      </c>
      <c r="D36" s="8">
        <v>5021</v>
      </c>
      <c r="E36" s="8">
        <v>3449</v>
      </c>
      <c r="F36" s="8">
        <v>1433</v>
      </c>
      <c r="G36" s="9">
        <v>8414</v>
      </c>
      <c r="H36" s="10">
        <v>6139</v>
      </c>
      <c r="I36" s="10">
        <v>4371</v>
      </c>
      <c r="J36" s="11">
        <v>2877</v>
      </c>
      <c r="K36" s="9">
        <v>7007</v>
      </c>
      <c r="L36" s="11">
        <v>7690</v>
      </c>
    </row>
    <row r="37" spans="1:12" ht="11.25">
      <c r="A37" s="1" t="s">
        <v>30</v>
      </c>
      <c r="C37" s="8">
        <f aca="true" t="shared" si="5" ref="C37:L37">C35+C36</f>
        <v>15663</v>
      </c>
      <c r="D37" s="8">
        <f t="shared" si="5"/>
        <v>12134</v>
      </c>
      <c r="E37" s="8">
        <f t="shared" si="5"/>
        <v>8038</v>
      </c>
      <c r="F37" s="8">
        <f t="shared" si="5"/>
        <v>3732</v>
      </c>
      <c r="G37" s="9">
        <f t="shared" si="5"/>
        <v>18313</v>
      </c>
      <c r="H37" s="10">
        <f t="shared" si="5"/>
        <v>13370</v>
      </c>
      <c r="I37" s="10">
        <f t="shared" si="5"/>
        <v>8952</v>
      </c>
      <c r="J37" s="11">
        <f t="shared" si="5"/>
        <v>4844</v>
      </c>
      <c r="K37" s="9">
        <f t="shared" si="5"/>
        <v>15237</v>
      </c>
      <c r="L37" s="11">
        <f t="shared" si="5"/>
        <v>13154</v>
      </c>
    </row>
    <row r="38" spans="1:12" ht="11.25">
      <c r="A38" s="1" t="s">
        <v>31</v>
      </c>
      <c r="C38" s="8">
        <v>8338</v>
      </c>
      <c r="D38" s="8">
        <v>5544</v>
      </c>
      <c r="E38" s="8">
        <v>3521</v>
      </c>
      <c r="F38" s="8">
        <v>2409</v>
      </c>
      <c r="G38" s="9">
        <v>7852</v>
      </c>
      <c r="H38" s="10">
        <v>5963</v>
      </c>
      <c r="I38" s="10">
        <v>3668</v>
      </c>
      <c r="J38" s="11">
        <v>2195</v>
      </c>
      <c r="K38" s="9">
        <v>8625</v>
      </c>
      <c r="L38" s="11">
        <v>7438</v>
      </c>
    </row>
    <row r="39" spans="1:12" ht="11.25">
      <c r="A39" s="1" t="s">
        <v>32</v>
      </c>
      <c r="C39" s="8">
        <f aca="true" t="shared" si="6" ref="C39:L39">C37-C38</f>
        <v>7325</v>
      </c>
      <c r="D39" s="8">
        <f t="shared" si="6"/>
        <v>6590</v>
      </c>
      <c r="E39" s="8">
        <f t="shared" si="6"/>
        <v>4517</v>
      </c>
      <c r="F39" s="8">
        <f t="shared" si="6"/>
        <v>1323</v>
      </c>
      <c r="G39" s="9">
        <f t="shared" si="6"/>
        <v>10461</v>
      </c>
      <c r="H39" s="10">
        <f t="shared" si="6"/>
        <v>7407</v>
      </c>
      <c r="I39" s="10">
        <f t="shared" si="6"/>
        <v>5284</v>
      </c>
      <c r="J39" s="11">
        <f t="shared" si="6"/>
        <v>2649</v>
      </c>
      <c r="K39" s="9">
        <f t="shared" si="6"/>
        <v>6612</v>
      </c>
      <c r="L39" s="11">
        <f t="shared" si="6"/>
        <v>5716</v>
      </c>
    </row>
    <row r="40" spans="1:12" ht="11.25">
      <c r="A40" s="2" t="s">
        <v>33</v>
      </c>
      <c r="B40" s="2"/>
      <c r="C40" s="12">
        <v>1872</v>
      </c>
      <c r="D40" s="12">
        <v>3149</v>
      </c>
      <c r="E40" s="12">
        <v>2055</v>
      </c>
      <c r="F40" s="12">
        <v>1141</v>
      </c>
      <c r="G40" s="13">
        <v>5434</v>
      </c>
      <c r="H40" s="12">
        <v>4391</v>
      </c>
      <c r="I40" s="12">
        <v>3381</v>
      </c>
      <c r="J40" s="14">
        <v>2091</v>
      </c>
      <c r="K40" s="13">
        <v>4536</v>
      </c>
      <c r="L40" s="14">
        <v>4031</v>
      </c>
    </row>
    <row r="41" spans="1:12" ht="11.25">
      <c r="A41" s="4" t="s">
        <v>34</v>
      </c>
      <c r="C41" s="8"/>
      <c r="D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16375</v>
      </c>
      <c r="D42" s="8">
        <v>20237</v>
      </c>
      <c r="E42" s="8">
        <v>26661</v>
      </c>
      <c r="F42" s="8">
        <v>16903</v>
      </c>
      <c r="G42" s="9">
        <v>7094</v>
      </c>
      <c r="H42" s="10">
        <v>10331</v>
      </c>
      <c r="I42" s="10">
        <v>8819</v>
      </c>
      <c r="J42" s="11">
        <v>6109</v>
      </c>
      <c r="K42" s="9">
        <v>5550</v>
      </c>
      <c r="L42" s="11">
        <v>9621</v>
      </c>
    </row>
    <row r="43" spans="1:12" ht="11.25">
      <c r="A43" s="1" t="s">
        <v>36</v>
      </c>
      <c r="C43" s="8">
        <v>6840</v>
      </c>
      <c r="D43" s="8">
        <v>8013</v>
      </c>
      <c r="E43" s="8">
        <v>6361</v>
      </c>
      <c r="F43" s="8">
        <v>5444</v>
      </c>
      <c r="G43" s="9">
        <v>5232</v>
      </c>
      <c r="H43" s="10">
        <v>4605</v>
      </c>
      <c r="I43" s="10">
        <v>4212</v>
      </c>
      <c r="J43" s="11">
        <v>3648</v>
      </c>
      <c r="K43" s="9">
        <v>3169</v>
      </c>
      <c r="L43" s="11">
        <v>2599</v>
      </c>
    </row>
    <row r="44" spans="1:12" ht="11.25">
      <c r="A44" s="1" t="s">
        <v>37</v>
      </c>
      <c r="C44" s="18">
        <f aca="true" t="shared" si="7" ref="C44:L44">C42/C13</f>
        <v>0.05950218023255814</v>
      </c>
      <c r="D44" s="18">
        <f t="shared" si="7"/>
        <v>0.07376586073536219</v>
      </c>
      <c r="E44" s="18">
        <f t="shared" si="7"/>
        <v>0.10171567224822882</v>
      </c>
      <c r="F44" s="18">
        <f t="shared" si="7"/>
        <v>0.06455222455604354</v>
      </c>
      <c r="G44" s="19">
        <f t="shared" si="7"/>
        <v>0.02843685486942056</v>
      </c>
      <c r="H44" s="20">
        <f t="shared" si="7"/>
        <v>0.041458990472980024</v>
      </c>
      <c r="I44" s="20">
        <f t="shared" si="7"/>
        <v>0.036375860518641646</v>
      </c>
      <c r="J44" s="21">
        <f t="shared" si="7"/>
        <v>0.025724813138225076</v>
      </c>
      <c r="K44" s="19">
        <f t="shared" si="7"/>
        <v>0.023270928111700454</v>
      </c>
      <c r="L44" s="21">
        <f t="shared" si="7"/>
        <v>0.042720127880644734</v>
      </c>
    </row>
    <row r="45" spans="1:12" ht="11.25">
      <c r="A45" s="1" t="s">
        <v>38</v>
      </c>
      <c r="C45" s="18">
        <f aca="true" t="shared" si="8" ref="C45:L45">C43/C42</f>
        <v>0.41770992366412213</v>
      </c>
      <c r="D45" s="18">
        <f t="shared" si="8"/>
        <v>0.395957898898058</v>
      </c>
      <c r="E45" s="18">
        <f t="shared" si="8"/>
        <v>0.23858819999249842</v>
      </c>
      <c r="F45" s="18">
        <f t="shared" si="8"/>
        <v>0.32207300479204876</v>
      </c>
      <c r="G45" s="19">
        <f t="shared" si="8"/>
        <v>0.7375246687341416</v>
      </c>
      <c r="H45" s="20">
        <f t="shared" si="8"/>
        <v>0.44574581357080634</v>
      </c>
      <c r="I45" s="20">
        <f t="shared" si="8"/>
        <v>0.4776051706542692</v>
      </c>
      <c r="J45" s="21">
        <f t="shared" si="8"/>
        <v>0.5971517433295138</v>
      </c>
      <c r="K45" s="19">
        <f t="shared" si="8"/>
        <v>0.570990990990991</v>
      </c>
      <c r="L45" s="21">
        <f t="shared" si="8"/>
        <v>0.27013823926826735</v>
      </c>
    </row>
    <row r="46" spans="1:12" ht="11.25">
      <c r="A46" s="2" t="s">
        <v>39</v>
      </c>
      <c r="B46" s="2"/>
      <c r="C46" s="22">
        <f aca="true" t="shared" si="9" ref="C46:L46">C43/C13</f>
        <v>0.024854651162790696</v>
      </c>
      <c r="D46" s="22">
        <f t="shared" si="9"/>
        <v>0.02920817522718077</v>
      </c>
      <c r="E46" s="22">
        <f t="shared" si="9"/>
        <v>0.02426815915273184</v>
      </c>
      <c r="F46" s="22">
        <f t="shared" si="9"/>
        <v>0.020790528928776017</v>
      </c>
      <c r="G46" s="23">
        <f t="shared" si="9"/>
        <v>0.02097288196741026</v>
      </c>
      <c r="H46" s="22">
        <f t="shared" si="9"/>
        <v>0.018480171438202787</v>
      </c>
      <c r="I46" s="22">
        <f t="shared" si="9"/>
        <v>0.017373299070701738</v>
      </c>
      <c r="J46" s="24">
        <f t="shared" si="9"/>
        <v>0.015361617012317086</v>
      </c>
      <c r="K46" s="23">
        <f t="shared" si="9"/>
        <v>0.013287490303779953</v>
      </c>
      <c r="L46" s="24">
        <f t="shared" si="9"/>
        <v>0.011540340126992584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0" ref="C48:L48">C25/(C13+C16)</f>
        <v>0.12531647053307704</v>
      </c>
      <c r="D48" s="18">
        <f t="shared" si="10"/>
        <v>0.12643114970355016</v>
      </c>
      <c r="E48" s="18">
        <f t="shared" si="10"/>
        <v>0.13056927120523845</v>
      </c>
      <c r="F48" s="18">
        <f t="shared" si="10"/>
        <v>0.12893667456823568</v>
      </c>
      <c r="G48" s="19">
        <f t="shared" si="10"/>
        <v>0.13163899475903745</v>
      </c>
      <c r="H48" s="20">
        <f t="shared" si="10"/>
        <v>0.13372531376533922</v>
      </c>
      <c r="I48" s="20">
        <f t="shared" si="10"/>
        <v>0.1326803982405642</v>
      </c>
      <c r="J48" s="21">
        <f t="shared" si="10"/>
        <v>0.13439371008119402</v>
      </c>
      <c r="K48" s="19">
        <f t="shared" si="10"/>
        <v>0.14099037367144387</v>
      </c>
      <c r="L48" s="21">
        <f t="shared" si="10"/>
        <v>0.11810910589993412</v>
      </c>
    </row>
    <row r="49" spans="1:12" ht="11.25">
      <c r="A49" s="2" t="s">
        <v>42</v>
      </c>
      <c r="B49" s="2"/>
      <c r="C49" s="22">
        <f aca="true" t="shared" si="11" ref="C49:L49">C25/C13</f>
        <v>0.15539970930232558</v>
      </c>
      <c r="D49" s="22">
        <f t="shared" si="11"/>
        <v>0.1589554605399849</v>
      </c>
      <c r="E49" s="22">
        <f t="shared" si="11"/>
        <v>0.16394074311461088</v>
      </c>
      <c r="F49" s="22">
        <f t="shared" si="11"/>
        <v>0.16285659728852397</v>
      </c>
      <c r="G49" s="23">
        <f t="shared" si="11"/>
        <v>0.16904976650031067</v>
      </c>
      <c r="H49" s="22">
        <f t="shared" si="11"/>
        <v>0.17295915500870834</v>
      </c>
      <c r="I49" s="22">
        <f t="shared" si="11"/>
        <v>0.17567985612994502</v>
      </c>
      <c r="J49" s="24">
        <f t="shared" si="11"/>
        <v>0.17836403831982314</v>
      </c>
      <c r="K49" s="23">
        <f t="shared" si="11"/>
        <v>0.17815467829514245</v>
      </c>
      <c r="L49" s="24">
        <f t="shared" si="11"/>
        <v>0.142480351671773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2" ref="C51:L51">C12/C17</f>
        <v>0.235422582700743</v>
      </c>
      <c r="D51" s="25">
        <f t="shared" si="12"/>
        <v>0.20284959106642333</v>
      </c>
      <c r="E51" s="25">
        <f t="shared" si="12"/>
        <v>0.22859563472999467</v>
      </c>
      <c r="F51" s="25">
        <f t="shared" si="12"/>
        <v>0.21734081737670286</v>
      </c>
      <c r="G51" s="26">
        <f t="shared" si="12"/>
        <v>0.31988837318176666</v>
      </c>
      <c r="H51" s="27">
        <f t="shared" si="12"/>
        <v>0.21775976153275683</v>
      </c>
      <c r="I51" s="27">
        <f t="shared" si="12"/>
        <v>0.2754867212637351</v>
      </c>
      <c r="J51" s="28">
        <f t="shared" si="12"/>
        <v>0.2913092169967767</v>
      </c>
      <c r="K51" s="26">
        <f t="shared" si="12"/>
        <v>0.37248719243812684</v>
      </c>
      <c r="L51" s="28">
        <f t="shared" si="12"/>
        <v>0.25061238748045683</v>
      </c>
    </row>
    <row r="52" spans="1:12" ht="11.25">
      <c r="A52" s="1" t="s">
        <v>45</v>
      </c>
      <c r="C52" s="25">
        <f aca="true" t="shared" si="13" ref="C52:L52">C12/C11</f>
        <v>0.1760999595071441</v>
      </c>
      <c r="D52" s="25">
        <f t="shared" si="13"/>
        <v>0.1496366885612301</v>
      </c>
      <c r="E52" s="25">
        <f t="shared" si="13"/>
        <v>0.169785619225799</v>
      </c>
      <c r="F52" s="25">
        <f t="shared" si="13"/>
        <v>0.15685225362573785</v>
      </c>
      <c r="G52" s="26">
        <f t="shared" si="13"/>
        <v>0.20722212744986543</v>
      </c>
      <c r="H52" s="27">
        <f t="shared" si="13"/>
        <v>0.15248370873615086</v>
      </c>
      <c r="I52" s="27">
        <f t="shared" si="13"/>
        <v>0.18853813734402117</v>
      </c>
      <c r="J52" s="28">
        <f t="shared" si="13"/>
        <v>0.19881626943589065</v>
      </c>
      <c r="K52" s="26">
        <f t="shared" si="13"/>
        <v>0.24802890459465823</v>
      </c>
      <c r="L52" s="28">
        <f t="shared" si="13"/>
        <v>0.17356669105671868</v>
      </c>
    </row>
    <row r="53" spans="1:12" ht="11.25">
      <c r="A53" s="2" t="s">
        <v>46</v>
      </c>
      <c r="B53" s="2"/>
      <c r="C53" s="29">
        <f aca="true" t="shared" si="14" ref="C53:L53">(C12+C16)/C17</f>
        <v>0.4397817331427829</v>
      </c>
      <c r="D53" s="29">
        <f t="shared" si="14"/>
        <v>0.428407060696034</v>
      </c>
      <c r="E53" s="29">
        <f t="shared" si="14"/>
        <v>0.4460541179220172</v>
      </c>
      <c r="F53" s="29">
        <f t="shared" si="14"/>
        <v>0.4505491157273244</v>
      </c>
      <c r="G53" s="30">
        <f t="shared" si="14"/>
        <v>0.5791903032431028</v>
      </c>
      <c r="H53" s="29">
        <f t="shared" si="14"/>
        <v>0.4809557409980776</v>
      </c>
      <c r="I53" s="29">
        <f t="shared" si="14"/>
        <v>0.5545248563453111</v>
      </c>
      <c r="J53" s="31">
        <f t="shared" si="14"/>
        <v>0.5701953380187657</v>
      </c>
      <c r="K53" s="30">
        <f t="shared" si="14"/>
        <v>0.5992928782740458</v>
      </c>
      <c r="L53" s="31">
        <f t="shared" si="14"/>
        <v>0.4485828821191376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0.005658794634422822</v>
      </c>
      <c r="D55" s="18">
        <f>((D40)/0.75)/D28</f>
        <v>0.012585742619764893</v>
      </c>
      <c r="E55" s="18">
        <f>((E40)/0.5)/E28</f>
        <v>0.012643877948123184</v>
      </c>
      <c r="F55" s="18">
        <f>((F40)/0.25)/F28</f>
        <v>0.014132065452147135</v>
      </c>
      <c r="G55" s="19">
        <f>(G40)/G28</f>
        <v>0.017480481630053304</v>
      </c>
      <c r="H55" s="20">
        <f>((H40)/0.75)/H28</f>
        <v>0.01971347888354636</v>
      </c>
      <c r="I55" s="20">
        <f>((I40)/0.5)/I28</f>
        <v>0.022709107151253</v>
      </c>
      <c r="J55" s="21">
        <f>((J40)/0.25)/J28</f>
        <v>0.027589482746677486</v>
      </c>
      <c r="K55" s="19">
        <f>K40/K28</f>
        <v>0.015831300323536496</v>
      </c>
      <c r="L55" s="21">
        <f>L40/L28</f>
        <v>0.016701262434796298</v>
      </c>
    </row>
    <row r="56" spans="1:12" ht="11.25">
      <c r="A56" s="1" t="s">
        <v>49</v>
      </c>
      <c r="B56" s="16"/>
      <c r="C56" s="20">
        <f>(C40)/C27</f>
        <v>0.004382848359768168</v>
      </c>
      <c r="D56" s="18">
        <f>((D40)/0.75)/D27</f>
        <v>0.010230183182491736</v>
      </c>
      <c r="E56" s="18">
        <f>((E40)/0.5)/E27</f>
        <v>0.009949044431803052</v>
      </c>
      <c r="F56" s="18">
        <f>((F40)/0.25)/F27</f>
        <v>0.011165790210850927</v>
      </c>
      <c r="G56" s="19">
        <f>(G40)/G27</f>
        <v>0.012963868643612897</v>
      </c>
      <c r="H56" s="20">
        <f>((H40)/0.75)/H27</f>
        <v>0.015917616997520916</v>
      </c>
      <c r="I56" s="20">
        <f>((I40)/0.5)/I27</f>
        <v>0.017233909156246972</v>
      </c>
      <c r="J56" s="21">
        <f>((J40)/0.25)/J27</f>
        <v>0.022056438533895557</v>
      </c>
      <c r="K56" s="19">
        <f>K40/K27</f>
        <v>0.012012680051165119</v>
      </c>
      <c r="L56" s="21">
        <f>L40/L27</f>
        <v>0.013476151791415513</v>
      </c>
    </row>
    <row r="57" spans="1:12" ht="11.25">
      <c r="A57" s="1" t="s">
        <v>50</v>
      </c>
      <c r="B57" s="16"/>
      <c r="C57" s="20">
        <f>(C40)/C31</f>
        <v>0.04407921071840637</v>
      </c>
      <c r="D57" s="18">
        <f>((D40)/0.75)/D31</f>
        <v>0.09684723647840814</v>
      </c>
      <c r="E57" s="18">
        <f>((E40)/0.5)/E31</f>
        <v>0.09606956277830371</v>
      </c>
      <c r="F57" s="18">
        <f>((F40)/0.25)/F31</f>
        <v>0.10738697191797744</v>
      </c>
      <c r="G57" s="19">
        <f>(G40)/G31</f>
        <v>0.12837079647062993</v>
      </c>
      <c r="H57" s="20">
        <f>((H40)/0.75)/H31</f>
        <v>0.1557361423295694</v>
      </c>
      <c r="I57" s="20">
        <f>((I40)/0.5)/I31</f>
        <v>0.16010038829434606</v>
      </c>
      <c r="J57" s="21">
        <f>((J40)/0.25)/J31</f>
        <v>0.2039950245115973</v>
      </c>
      <c r="K57" s="19">
        <f>K40/K31</f>
        <v>0.12164608391327085</v>
      </c>
      <c r="L57" s="21">
        <f>L40/L31</f>
        <v>0.1585509754562618</v>
      </c>
    </row>
    <row r="58" spans="1:12" ht="11.25">
      <c r="A58" s="1" t="s">
        <v>51</v>
      </c>
      <c r="B58" s="16"/>
      <c r="C58" s="20">
        <f aca="true" t="shared" si="15" ref="C58:L58">(C33)/C28</f>
        <v>0.1040589457774419</v>
      </c>
      <c r="D58" s="20">
        <f t="shared" si="15"/>
        <v>0.08008273257295305</v>
      </c>
      <c r="E58" s="20">
        <f t="shared" si="15"/>
        <v>0.05467631210997405</v>
      </c>
      <c r="F58" s="21">
        <f t="shared" si="15"/>
        <v>0.027651039545940823</v>
      </c>
      <c r="G58" s="20">
        <f t="shared" si="15"/>
        <v>0.11698797854989851</v>
      </c>
      <c r="H58" s="20">
        <f t="shared" si="15"/>
        <v>0.09106765256508681</v>
      </c>
      <c r="I58" s="20">
        <f t="shared" si="15"/>
        <v>0.059711316940147634</v>
      </c>
      <c r="J58" s="21">
        <f t="shared" si="15"/>
        <v>0.028763784020926313</v>
      </c>
      <c r="K58" s="19">
        <f t="shared" si="15"/>
        <v>0.1181902897169841</v>
      </c>
      <c r="L58" s="21">
        <f t="shared" si="15"/>
        <v>0.1177581942251998</v>
      </c>
    </row>
    <row r="59" spans="1:12" ht="11.25">
      <c r="A59" s="1" t="s">
        <v>52</v>
      </c>
      <c r="B59" s="16"/>
      <c r="C59" s="20">
        <f aca="true" t="shared" si="16" ref="C59:L59">(C34)/C28</f>
        <v>0.07814094086529379</v>
      </c>
      <c r="D59" s="20">
        <f t="shared" si="16"/>
        <v>0.058761109695598085</v>
      </c>
      <c r="E59" s="20">
        <f t="shared" si="16"/>
        <v>0.04055885325256838</v>
      </c>
      <c r="F59" s="21">
        <f t="shared" si="16"/>
        <v>0.02053236766283691</v>
      </c>
      <c r="G59" s="20">
        <f t="shared" si="16"/>
        <v>0.08514416411193428</v>
      </c>
      <c r="H59" s="20">
        <f t="shared" si="16"/>
        <v>0.06671986746939271</v>
      </c>
      <c r="I59" s="20">
        <f t="shared" si="16"/>
        <v>0.04432675322232894</v>
      </c>
      <c r="J59" s="21">
        <f t="shared" si="16"/>
        <v>0.02227543962079305</v>
      </c>
      <c r="K59" s="19">
        <f t="shared" si="16"/>
        <v>0.08946639164319543</v>
      </c>
      <c r="L59" s="21">
        <f t="shared" si="16"/>
        <v>0.09511971793055159</v>
      </c>
    </row>
    <row r="60" spans="1:12" ht="11.25">
      <c r="A60" s="1" t="s">
        <v>53</v>
      </c>
      <c r="B60" s="16"/>
      <c r="C60" s="20">
        <f aca="true" t="shared" si="17" ref="C60:L60">(C35)/C28</f>
        <v>0.02591800491214812</v>
      </c>
      <c r="D60" s="20">
        <f t="shared" si="17"/>
        <v>0.021321622877354954</v>
      </c>
      <c r="E60" s="20">
        <f t="shared" si="17"/>
        <v>0.014117458857405667</v>
      </c>
      <c r="F60" s="21">
        <f t="shared" si="17"/>
        <v>0.007118671883103915</v>
      </c>
      <c r="G60" s="20">
        <f t="shared" si="17"/>
        <v>0.03184381443796423</v>
      </c>
      <c r="H60" s="20">
        <f t="shared" si="17"/>
        <v>0.024347785095694102</v>
      </c>
      <c r="I60" s="20">
        <f t="shared" si="17"/>
        <v>0.01538456371781869</v>
      </c>
      <c r="J60" s="21">
        <f t="shared" si="17"/>
        <v>0.006488344400133263</v>
      </c>
      <c r="K60" s="19">
        <f t="shared" si="17"/>
        <v>0.028723898073788657</v>
      </c>
      <c r="L60" s="21">
        <f t="shared" si="17"/>
        <v>0.02263847629464822</v>
      </c>
    </row>
    <row r="61" spans="1:12" ht="11.25">
      <c r="A61" s="1" t="s">
        <v>54</v>
      </c>
      <c r="B61" s="16"/>
      <c r="C61" s="20">
        <f>(C38)/(C37)</f>
        <v>0.5323373555512992</v>
      </c>
      <c r="D61" s="20">
        <f>(D38/0.75)/(D37/0.75)</f>
        <v>0.456897972638866</v>
      </c>
      <c r="E61" s="20">
        <f>(E38/0.5)/(E37/0.5)</f>
        <v>0.43804428962428466</v>
      </c>
      <c r="F61" s="21">
        <f>(F38/0.25)/(F37/0.25)</f>
        <v>0.6454983922829582</v>
      </c>
      <c r="G61" s="20">
        <f>(G38)/(G37)</f>
        <v>0.4287664500627969</v>
      </c>
      <c r="H61" s="20">
        <f>((H38)/0.75)/((H37)/0.75)</f>
        <v>0.44599850411368736</v>
      </c>
      <c r="I61" s="20">
        <f>((I38)/0.5)/((I37)/0.5)</f>
        <v>0.4097408400357462</v>
      </c>
      <c r="J61" s="21">
        <f>(J38/0.25)/(J37/0.25)</f>
        <v>0.45313790255986786</v>
      </c>
      <c r="K61" s="19">
        <f>K38/K37</f>
        <v>0.5660563102973026</v>
      </c>
      <c r="L61" s="21">
        <f>L38/L37</f>
        <v>0.5654553747909381</v>
      </c>
    </row>
    <row r="62" spans="1:12" ht="11.25">
      <c r="A62" s="2" t="s">
        <v>55</v>
      </c>
      <c r="B62" s="2"/>
      <c r="C62" s="22">
        <f aca="true" t="shared" si="18" ref="C62:L62">(C36)/C28</f>
        <v>0.02142905724541848</v>
      </c>
      <c r="D62" s="22">
        <f t="shared" si="18"/>
        <v>0.01505073365207356</v>
      </c>
      <c r="E62" s="22">
        <f t="shared" si="18"/>
        <v>0.010610397820699967</v>
      </c>
      <c r="F62" s="24">
        <f t="shared" si="18"/>
        <v>0.00443717129555803</v>
      </c>
      <c r="G62" s="22">
        <f t="shared" si="18"/>
        <v>0.02706675974149218</v>
      </c>
      <c r="H62" s="22">
        <f t="shared" si="18"/>
        <v>0.020670868856654142</v>
      </c>
      <c r="I62" s="22">
        <f t="shared" si="18"/>
        <v>0.014679311942935057</v>
      </c>
      <c r="J62" s="24">
        <f t="shared" si="18"/>
        <v>0.009490069567454702</v>
      </c>
      <c r="K62" s="19">
        <f t="shared" si="18"/>
        <v>0.024455450036821036</v>
      </c>
      <c r="L62" s="24">
        <f t="shared" si="18"/>
        <v>0.031861252325374234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261</v>
      </c>
      <c r="D64" s="8">
        <v>264</v>
      </c>
      <c r="E64" s="8">
        <v>272</v>
      </c>
      <c r="F64" s="8">
        <v>264</v>
      </c>
      <c r="G64" s="9">
        <v>260</v>
      </c>
      <c r="H64" s="10">
        <v>260</v>
      </c>
      <c r="I64" s="10">
        <v>267</v>
      </c>
      <c r="J64" s="11">
        <v>259</v>
      </c>
      <c r="K64" s="9">
        <v>256</v>
      </c>
      <c r="L64" s="11">
        <v>210</v>
      </c>
    </row>
    <row r="65" spans="1:12" ht="11.25">
      <c r="A65" s="1" t="s">
        <v>58</v>
      </c>
      <c r="B65" s="16"/>
      <c r="C65" s="8">
        <v>9</v>
      </c>
      <c r="D65" s="8">
        <v>9</v>
      </c>
      <c r="E65" s="8">
        <v>9</v>
      </c>
      <c r="F65" s="8">
        <v>9</v>
      </c>
      <c r="G65" s="9">
        <v>8</v>
      </c>
      <c r="H65" s="10">
        <v>8</v>
      </c>
      <c r="I65" s="10">
        <v>8</v>
      </c>
      <c r="J65" s="11">
        <v>8</v>
      </c>
      <c r="K65" s="9">
        <v>8</v>
      </c>
      <c r="L65" s="11">
        <v>5</v>
      </c>
    </row>
    <row r="66" spans="1:12" ht="11.25">
      <c r="A66" s="1" t="s">
        <v>59</v>
      </c>
      <c r="B66" s="16"/>
      <c r="C66" s="32">
        <f aca="true" t="shared" si="19" ref="C66:L66">C13/C64</f>
        <v>1054.4061302681991</v>
      </c>
      <c r="D66" s="32">
        <f t="shared" si="19"/>
        <v>1039.1704545454545</v>
      </c>
      <c r="E66" s="32">
        <f t="shared" si="19"/>
        <v>963.6507352941177</v>
      </c>
      <c r="F66" s="32">
        <f t="shared" si="19"/>
        <v>991.8560606060606</v>
      </c>
      <c r="G66" s="33">
        <f t="shared" si="19"/>
        <v>959.4807692307693</v>
      </c>
      <c r="H66" s="34">
        <f t="shared" si="19"/>
        <v>958.4076923076923</v>
      </c>
      <c r="I66" s="34">
        <f t="shared" si="19"/>
        <v>908.0187265917604</v>
      </c>
      <c r="J66" s="35">
        <f t="shared" si="19"/>
        <v>916.8918918918919</v>
      </c>
      <c r="K66" s="33">
        <f t="shared" si="19"/>
        <v>931.62109375</v>
      </c>
      <c r="L66" s="35">
        <f t="shared" si="19"/>
        <v>1072.4285714285713</v>
      </c>
    </row>
    <row r="67" spans="1:12" ht="11.25">
      <c r="A67" s="1" t="s">
        <v>60</v>
      </c>
      <c r="B67" s="16"/>
      <c r="C67" s="32">
        <f aca="true" t="shared" si="20" ref="C67:L67">C17/C64</f>
        <v>1238.5977011494253</v>
      </c>
      <c r="D67" s="32">
        <f t="shared" si="20"/>
        <v>1185.1780303030303</v>
      </c>
      <c r="E67" s="32">
        <f t="shared" si="20"/>
        <v>1132.6029411764705</v>
      </c>
      <c r="F67" s="32">
        <f t="shared" si="20"/>
        <v>1118.878787878788</v>
      </c>
      <c r="G67" s="33">
        <f t="shared" si="20"/>
        <v>1051.5807692307692</v>
      </c>
      <c r="H67" s="34">
        <f t="shared" si="20"/>
        <v>1068.3615384615384</v>
      </c>
      <c r="I67" s="34">
        <f t="shared" si="20"/>
        <v>1054.5992509363296</v>
      </c>
      <c r="J67" s="35">
        <f t="shared" si="20"/>
        <v>1075.6525096525097</v>
      </c>
      <c r="K67" s="33">
        <f t="shared" si="20"/>
        <v>1082.734375</v>
      </c>
      <c r="L67" s="35">
        <f t="shared" si="20"/>
        <v>1117.7952380952381</v>
      </c>
    </row>
    <row r="68" spans="1:12" ht="11.25">
      <c r="A68" s="2" t="s">
        <v>61</v>
      </c>
      <c r="B68" s="2"/>
      <c r="C68" s="36">
        <f aca="true" t="shared" si="21" ref="C68:L68">C40/C64</f>
        <v>7.172413793103448</v>
      </c>
      <c r="D68" s="36">
        <f t="shared" si="21"/>
        <v>11.928030303030303</v>
      </c>
      <c r="E68" s="36">
        <f t="shared" si="21"/>
        <v>7.555147058823529</v>
      </c>
      <c r="F68" s="36">
        <f t="shared" si="21"/>
        <v>4.321969696969697</v>
      </c>
      <c r="G68" s="37">
        <f t="shared" si="21"/>
        <v>20.9</v>
      </c>
      <c r="H68" s="36">
        <f t="shared" si="21"/>
        <v>16.888461538461538</v>
      </c>
      <c r="I68" s="36">
        <f t="shared" si="21"/>
        <v>12.662921348314606</v>
      </c>
      <c r="J68" s="38">
        <f t="shared" si="21"/>
        <v>8.073359073359073</v>
      </c>
      <c r="K68" s="37">
        <f t="shared" si="21"/>
        <v>17.71875</v>
      </c>
      <c r="L68" s="38">
        <f t="shared" si="21"/>
        <v>19.195238095238096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0.023956082489859358</v>
      </c>
      <c r="D70" s="18">
        <f>(D11-H11)/H11</f>
        <v>0.06924637936902076</v>
      </c>
      <c r="E70" s="18">
        <f>(E11-I11)/I11</f>
        <v>0.00812280949070811</v>
      </c>
      <c r="F70" s="18">
        <f>(F11-J11)/J11</f>
        <v>0.002682502002689851</v>
      </c>
      <c r="G70" s="19">
        <f>(G11-K11)/K11</f>
        <v>0.013928593735736284</v>
      </c>
      <c r="H70" s="20">
        <f>(H11-384122)/384122</f>
        <v>0.032705754942440164</v>
      </c>
      <c r="I70" s="20">
        <f>(I11-373299)/J11</f>
        <v>0.09342211312564154</v>
      </c>
      <c r="J70" s="21">
        <f>(J11-350217)/350217</f>
        <v>0.16556592055782557</v>
      </c>
      <c r="K70" s="19">
        <f>(K11-L11)/L11</f>
        <v>0.2281551679373097</v>
      </c>
      <c r="L70" s="21">
        <f>(L11-259308)/259308</f>
        <v>0.3070788406065374</v>
      </c>
    </row>
    <row r="71" spans="1:12" ht="11.25">
      <c r="A71" s="1" t="s">
        <v>64</v>
      </c>
      <c r="B71" s="16"/>
      <c r="C71" s="18">
        <f aca="true" t="shared" si="22" ref="C71:E73">(C13-G13)/G13</f>
        <v>0.10316076403503498</v>
      </c>
      <c r="D71" s="18">
        <f t="shared" si="22"/>
        <v>0.10094868893115985</v>
      </c>
      <c r="E71" s="18">
        <f t="shared" si="22"/>
        <v>0.08114139110134012</v>
      </c>
      <c r="F71" s="18">
        <f>F13/J13-1</f>
        <v>0.10264238340877996</v>
      </c>
      <c r="G71" s="19">
        <f>G13/K13-1</f>
        <v>0.04599677142078451</v>
      </c>
      <c r="H71" s="20">
        <f>H13/K13-1</f>
        <v>0.04482693557516937</v>
      </c>
      <c r="I71" s="20">
        <f>I13/213218-1</f>
        <v>0.13705690889136934</v>
      </c>
      <c r="J71" s="21">
        <f>J13/234839-1</f>
        <v>0.011224711398021725</v>
      </c>
      <c r="K71" s="19">
        <f>K13/L13-1</f>
        <v>0.05898938768260731</v>
      </c>
      <c r="L71" s="21">
        <f>L13/170759-1</f>
        <v>0.3188763110582751</v>
      </c>
    </row>
    <row r="72" spans="2:12" ht="11.25">
      <c r="B72" s="16" t="s">
        <v>15</v>
      </c>
      <c r="C72" s="18">
        <f t="shared" si="22"/>
        <v>0.10072017786943352</v>
      </c>
      <c r="D72" s="18">
        <f t="shared" si="22"/>
        <v>0.1061291265446633</v>
      </c>
      <c r="E72" s="18">
        <f t="shared" si="22"/>
        <v>0.08580680203894042</v>
      </c>
      <c r="F72" s="18">
        <f>(F14-J14)/J14</f>
        <v>0.10805247276632741</v>
      </c>
      <c r="G72" s="19">
        <f>(G14-K14)/K14</f>
        <v>0.054215639649432705</v>
      </c>
      <c r="H72" s="20">
        <f>H14/232971-1</f>
        <v>0.05735048568276735</v>
      </c>
      <c r="I72" s="20">
        <f>I14/208051-1</f>
        <v>0.15039100989661192</v>
      </c>
      <c r="J72" s="21">
        <f>J14/227415-1</f>
        <v>0.03175252292065167</v>
      </c>
      <c r="K72" s="19">
        <f>(K14-L14)/L14</f>
        <v>0.07179785917133912</v>
      </c>
      <c r="L72" s="21">
        <f>(L14-164698)/164698</f>
        <v>0.3341267046351504</v>
      </c>
    </row>
    <row r="73" spans="2:12" ht="11.25">
      <c r="B73" s="16" t="s">
        <v>16</v>
      </c>
      <c r="C73" s="20">
        <f t="shared" si="22"/>
        <v>0.6110645431684828</v>
      </c>
      <c r="D73" s="18">
        <f t="shared" si="22"/>
        <v>-0.3461807988787666</v>
      </c>
      <c r="E73" s="18">
        <f t="shared" si="22"/>
        <v>-0.2789422766849403</v>
      </c>
      <c r="F73" s="18">
        <f>(F15-J15)/J15</f>
        <v>-0.3444874955970412</v>
      </c>
      <c r="G73" s="19">
        <f>(G15-K15)/K15</f>
        <v>-0.6011367435640254</v>
      </c>
      <c r="H73" s="20">
        <f>H15/3473-1</f>
        <v>-0.1782320760149726</v>
      </c>
      <c r="I73" s="20">
        <f>I15/5167-1</f>
        <v>-0.3998451712792723</v>
      </c>
      <c r="J73" s="21">
        <f>J15/7424-1</f>
        <v>-0.6175915948275862</v>
      </c>
      <c r="K73" s="19">
        <f>(K15-L15)/L15</f>
        <v>-0.4543962057643196</v>
      </c>
      <c r="L73" s="21">
        <f>(L15-6060)/6060</f>
        <v>-0.09537953795379538</v>
      </c>
    </row>
    <row r="74" spans="1:12" ht="11.25">
      <c r="A74" s="1" t="s">
        <v>65</v>
      </c>
      <c r="B74" s="16"/>
      <c r="C74" s="18">
        <f aca="true" t="shared" si="23" ref="C74:E75">(C17-G17)/G17</f>
        <v>0.18237378891119962</v>
      </c>
      <c r="D74" s="18">
        <f t="shared" si="23"/>
        <v>0.12640851915586052</v>
      </c>
      <c r="E74" s="18">
        <f t="shared" si="23"/>
        <v>0.09407695203460498</v>
      </c>
      <c r="F74" s="18">
        <f>F17/J17-1</f>
        <v>0.060266911706641224</v>
      </c>
      <c r="G74" s="19">
        <f>G17/K17-1</f>
        <v>-0.013597662168987612</v>
      </c>
      <c r="H74" s="20">
        <f>H17/242699-1</f>
        <v>0.14452057898878867</v>
      </c>
      <c r="I74" s="20">
        <f>I17/255566-1</f>
        <v>0.10178192717341128</v>
      </c>
      <c r="J74" s="21">
        <f>J17/236003-1</f>
        <v>0.18046804489773427</v>
      </c>
      <c r="K74" s="19">
        <f>K17/L17-1</f>
        <v>0.1808108649254272</v>
      </c>
      <c r="L74" s="21">
        <f>L17/213712-1</f>
        <v>0.09838006288837309</v>
      </c>
    </row>
    <row r="75" spans="2:12" ht="11.25">
      <c r="B75" s="16" t="s">
        <v>15</v>
      </c>
      <c r="C75" s="18">
        <f t="shared" si="23"/>
        <v>0.1949560415891602</v>
      </c>
      <c r="D75" s="18">
        <f t="shared" si="23"/>
        <v>0.14530468855560058</v>
      </c>
      <c r="E75" s="18">
        <f t="shared" si="23"/>
        <v>0.13628724572768167</v>
      </c>
      <c r="F75" s="18">
        <f>(F18-J18)/J18</f>
        <v>0.1032171845988276</v>
      </c>
      <c r="G75" s="19">
        <f>(G18-K18)/K18</f>
        <v>-0.024524878235125586</v>
      </c>
      <c r="H75" s="20">
        <f>(H18-242699)/242699</f>
        <v>0.06730971285419388</v>
      </c>
      <c r="I75" s="20">
        <f>I18/239814-1</f>
        <v>0.07436179705938772</v>
      </c>
      <c r="J75" s="21">
        <f>J18/221354-1</f>
        <v>0.14598787462616447</v>
      </c>
      <c r="K75" s="19">
        <f>(K18-L18)/L18</f>
        <v>0.190156853830416</v>
      </c>
      <c r="L75" s="21">
        <f>(L18-186031)/186031</f>
        <v>0.18232982674930523</v>
      </c>
    </row>
    <row r="76" spans="2:12" ht="11.25">
      <c r="B76" s="16" t="s">
        <v>16</v>
      </c>
      <c r="C76" s="18">
        <f>(C22-G22)/G22</f>
        <v>0.004430660168365086</v>
      </c>
      <c r="D76" s="18">
        <f>(D22-H22)/H22</f>
        <v>-0.13479908212818187</v>
      </c>
      <c r="E76" s="18">
        <f>(E22-I22)/I22</f>
        <v>-0.36036939534495005</v>
      </c>
      <c r="F76" s="18">
        <f>(F22-J22)/J22</f>
        <v>-0.3768505516549649</v>
      </c>
      <c r="G76" s="19">
        <f>(G22-K22)/K22</f>
        <v>0.17208698474521258</v>
      </c>
      <c r="H76" s="20">
        <f>(H22-15506)/15506</f>
        <v>0.20849993550883528</v>
      </c>
      <c r="I76" s="20">
        <f>I22/15753-1</f>
        <v>0.519139211578747</v>
      </c>
      <c r="J76" s="21">
        <f>(J22-14648)/14648</f>
        <v>0.701597487711633</v>
      </c>
      <c r="K76" s="19">
        <f>(K22-L22)/L22</f>
        <v>0.04179346723473321</v>
      </c>
      <c r="L76" s="21">
        <f>(L22-27680)/27680</f>
        <v>-0.46578757225433526</v>
      </c>
    </row>
    <row r="77" spans="1:12" ht="11.25">
      <c r="A77" s="1" t="s">
        <v>66</v>
      </c>
      <c r="B77" s="16"/>
      <c r="C77" s="18">
        <f>C25/G25-1</f>
        <v>0.014085174997628735</v>
      </c>
      <c r="D77" s="18">
        <f>D25/H25-1</f>
        <v>0.011810018793939614</v>
      </c>
      <c r="E77" s="18">
        <f>E25/I25-1</f>
        <v>0.00889838467317805</v>
      </c>
      <c r="F77" s="18">
        <f>(F25-J25)/J25</f>
        <v>0.006775739547182284</v>
      </c>
      <c r="G77" s="19">
        <f>(G25-K25)/K25</f>
        <v>-0.007460754548236014</v>
      </c>
      <c r="H77" s="20">
        <f>(H25-42277)/42277</f>
        <v>0.01944319606405374</v>
      </c>
      <c r="I77" s="20">
        <f>(I25-42061)/42061</f>
        <v>0.01262452152825658</v>
      </c>
      <c r="J77" s="21">
        <f>(J25-39646)/39646</f>
        <v>0.06838016445543056</v>
      </c>
      <c r="K77" s="19">
        <f>(K25-L25)/L25</f>
        <v>0.32413986537023187</v>
      </c>
      <c r="L77" s="21">
        <f>(L25-18760)/18760</f>
        <v>0.7104477611940299</v>
      </c>
    </row>
    <row r="78" spans="1:12" ht="11.25">
      <c r="A78" s="2" t="s">
        <v>67</v>
      </c>
      <c r="B78" s="2"/>
      <c r="C78" s="22">
        <f>(C40-G40)/G40</f>
        <v>-0.6555023923444976</v>
      </c>
      <c r="D78" s="22">
        <f>(D40-H40)/H40</f>
        <v>-0.28285128672284215</v>
      </c>
      <c r="E78" s="22">
        <f>(E40-I40)/I40</f>
        <v>-0.3921916592724046</v>
      </c>
      <c r="F78" s="22">
        <f>F40/J40-1</f>
        <v>-0.45432807269249165</v>
      </c>
      <c r="G78" s="23">
        <f>G40/K40-1</f>
        <v>0.19797178130511472</v>
      </c>
      <c r="H78" s="22">
        <f>H40/4002-1</f>
        <v>0.09720139930034977</v>
      </c>
      <c r="I78" s="22">
        <f>I40/2750-1</f>
        <v>0.22945454545454536</v>
      </c>
      <c r="J78" s="24">
        <f>J40/1826-1</f>
        <v>0.14512595837897035</v>
      </c>
      <c r="K78" s="23">
        <f>(K40-L40)/L40</f>
        <v>0.12527908707516744</v>
      </c>
      <c r="L78" s="24">
        <f>(L40-2041)/2041</f>
        <v>0.9750122488975992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07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2002-03-22T20:54:32Z</cp:lastPrinted>
  <dcterms:created xsi:type="dcterms:W3CDTF">2002-03-19T15:08:48Z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