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Aliado" sheetId="1" r:id="rId1"/>
  </sheets>
  <definedNames/>
  <calcPr fullCalcOnLoad="1"/>
</workbook>
</file>

<file path=xl/sharedStrings.xml><?xml version="1.0" encoding="utf-8"?>
<sst xmlns="http://schemas.openxmlformats.org/spreadsheetml/2006/main" count="84" uniqueCount="68">
  <si>
    <t>CUADRO No 18-10</t>
  </si>
  <si>
    <t>BANCO ALIADO, S.A.</t>
  </si>
  <si>
    <t>ESTADISTICA FINANCIERA. AÑO  1999, TRIMESTRES DE 2000 Y 2001</t>
  </si>
  <si>
    <t>(En miles de balboas)</t>
  </si>
  <si>
    <t>Años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</si>
  <si>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</si>
  <si>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</si>
  <si>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</si>
  <si>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</si>
  <si>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</si>
  <si>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</si>
  <si>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</si>
  <si>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</si>
  <si>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</si>
  <si>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</si>
  <si>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</si>
  <si>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</si>
  <si>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</si>
  <si>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</si>
  <si>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</si>
  <si>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</si>
  <si>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</si>
  <si>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</si>
  <si>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</si>
  <si>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</si>
  <si>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</si>
  <si>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</si>
  <si>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</si>
  <si>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</si>
  <si>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</si>
  <si>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</si>
  <si>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</si>
  <si>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</si>
  <si>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</si>
  <si>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</si>
  <si>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</si>
  <si>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</si>
  <si>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</si>
  <si>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 xml:space="preserve">Provisiones Cuentas Malas / Préstamos Vencidos </t>
  </si>
  <si>
    <t xml:space="preserve">Provisiones / Préstamos Totales </t>
  </si>
  <si>
    <t>Razones de Capital</t>
  </si>
  <si>
    <t>Patrimonio / Activos Gerenadores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</si>
  <si>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</si>
  <si>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</si>
  <si>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</si>
  <si>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</si>
  <si>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</si>
  <si>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</si>
  <si>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</si>
  <si>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</si>
  <si>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</si>
  <si>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Gen. De Ing. (Promedio)</t>
  </si>
  <si>
    <t>Egresos Operaciones / Activos Gen. De Ing. (Promedio)</t>
  </si>
  <si>
    <t>Ingresos Netos por Intereses / Activos Gen. De Ing. (Promedio)</t>
  </si>
  <si>
    <t>Egresos Generales / Ingresos de Operaciones</t>
  </si>
  <si>
    <t>Otros Ingresos / Activos Gen. De Ing. (Promedio)</t>
  </si>
  <si>
    <t>Productividad</t>
  </si>
  <si>
    <t>Número de Empleados</t>
  </si>
  <si>
    <t>Sucursales</t>
  </si>
  <si>
    <t>Préstamos / Empleados</t>
  </si>
  <si>
    <t>Depósitos Totales / Empleados</t>
  </si>
  <si>
    <t>Utilidad Neta / Empleados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</si>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</sst>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_ * #,##0.0_ ;_ * \-#,##0.0_ ;_ * &quot;-&quot;?_ ;_ @_ 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179" fontId="2" fillId="0" borderId="3" xfId="15" applyNumberFormat="1" applyFont="1" applyBorder="1" applyAlignment="1">
      <alignment/>
    </xf>
    <xf numFmtId="179" fontId="2" fillId="0" borderId="0" xfId="15" applyNumberFormat="1" applyFont="1" applyBorder="1" applyAlignment="1">
      <alignment/>
    </xf>
    <xf numFmtId="179" fontId="2" fillId="0" borderId="4" xfId="15" applyNumberFormat="1" applyFont="1" applyBorder="1" applyAlignment="1">
      <alignment/>
    </xf>
    <xf numFmtId="179" fontId="1" fillId="0" borderId="0" xfId="15" applyNumberFormat="1" applyFont="1" applyAlignment="1">
      <alignment/>
    </xf>
    <xf numFmtId="179" fontId="1" fillId="0" borderId="3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179" fontId="1" fillId="0" borderId="4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10" fontId="1" fillId="0" borderId="0" xfId="19" applyNumberFormat="1" applyFont="1" applyAlignment="1">
      <alignment/>
    </xf>
    <xf numFmtId="10" fontId="1" fillId="0" borderId="3" xfId="19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10" fontId="1" fillId="0" borderId="4" xfId="19" applyNumberFormat="1" applyFont="1" applyBorder="1" applyAlignment="1">
      <alignment/>
    </xf>
    <xf numFmtId="10" fontId="1" fillId="0" borderId="1" xfId="19" applyNumberFormat="1" applyFont="1" applyBorder="1" applyAlignment="1">
      <alignment/>
    </xf>
    <xf numFmtId="10" fontId="1" fillId="0" borderId="5" xfId="19" applyNumberFormat="1" applyFont="1" applyBorder="1" applyAlignment="1">
      <alignment/>
    </xf>
    <xf numFmtId="10" fontId="1" fillId="0" borderId="6" xfId="19" applyNumberFormat="1" applyFont="1" applyBorder="1" applyAlignment="1">
      <alignment/>
    </xf>
    <xf numFmtId="181" fontId="1" fillId="0" borderId="0" xfId="19" applyNumberFormat="1" applyFont="1" applyAlignment="1">
      <alignment/>
    </xf>
    <xf numFmtId="181" fontId="1" fillId="0" borderId="3" xfId="19" applyNumberFormat="1" applyFont="1" applyBorder="1" applyAlignment="1">
      <alignment/>
    </xf>
    <xf numFmtId="181" fontId="1" fillId="0" borderId="0" xfId="19" applyNumberFormat="1" applyFont="1" applyBorder="1" applyAlignment="1">
      <alignment/>
    </xf>
    <xf numFmtId="181" fontId="1" fillId="0" borderId="4" xfId="19" applyNumberFormat="1" applyFont="1" applyBorder="1" applyAlignment="1">
      <alignment/>
    </xf>
    <xf numFmtId="181" fontId="1" fillId="0" borderId="1" xfId="19" applyNumberFormat="1" applyFont="1" applyBorder="1" applyAlignment="1">
      <alignment/>
    </xf>
    <xf numFmtId="181" fontId="1" fillId="0" borderId="5" xfId="19" applyNumberFormat="1" applyFont="1" applyBorder="1" applyAlignment="1">
      <alignment/>
    </xf>
    <xf numFmtId="181" fontId="1" fillId="0" borderId="6" xfId="19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3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4" xfId="15" applyFont="1" applyBorder="1" applyAlignment="1">
      <alignment/>
    </xf>
    <xf numFmtId="43" fontId="1" fillId="0" borderId="1" xfId="15" applyFont="1" applyBorder="1" applyAlignment="1">
      <alignment/>
    </xf>
    <xf numFmtId="43" fontId="1" fillId="0" borderId="5" xfId="15" applyFont="1" applyBorder="1" applyAlignment="1">
      <alignment/>
    </xf>
    <xf numFmtId="43" fontId="1" fillId="0" borderId="6" xfId="15" applyFont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5" sqref="F5"/>
    </sheetView>
  </sheetViews>
  <sheetFormatPr defaultColWidth="11.421875" defaultRowHeight="12.75"/>
  <cols>
    <col min="1" max="1" width="3.421875" style="1" customWidth="1"/>
    <col min="2" max="2" width="39.7109375" style="1" customWidth="1"/>
    <col min="3" max="3" width="9.00390625" style="1" customWidth="1"/>
    <col min="4" max="4" width="9.8515625" style="1" customWidth="1"/>
    <col min="5" max="6" width="8.140625" style="1" bestFit="1" customWidth="1"/>
    <col min="7" max="7" width="9.00390625" style="1" customWidth="1"/>
    <col min="8" max="8" width="10.28125" style="1" customWidth="1"/>
    <col min="9" max="9" width="8.57421875" style="1" customWidth="1"/>
    <col min="10" max="10" width="8.00390625" style="1" customWidth="1"/>
    <col min="11" max="11" width="8.7109375" style="1" customWidth="1"/>
    <col min="12" max="12" width="0.13671875" style="1" hidden="1" customWidth="1"/>
    <col min="13" max="16384" width="11.421875" style="1" customWidth="1"/>
  </cols>
  <sheetData>
    <row r="1" ht="11.25"/>
    <row r="2" spans="2:12" ht="11.25">
      <c r="B2" s="2"/>
      <c r="C2" s="2"/>
      <c r="D2" s="2"/>
      <c r="E2" s="2"/>
      <c r="F2" s="2" t="s">
        <v>0</v>
      </c>
      <c r="I2" s="2"/>
      <c r="J2" s="2"/>
      <c r="K2" s="2"/>
      <c r="L2" s="2"/>
    </row>
    <row r="3" spans="2:12" ht="11.25">
      <c r="B3" s="2"/>
      <c r="C3" s="2"/>
      <c r="D3" s="2"/>
      <c r="E3" s="2"/>
      <c r="F3" s="2" t="s">
        <v>1</v>
      </c>
      <c r="I3" s="2"/>
      <c r="J3" s="2"/>
      <c r="K3" s="2"/>
      <c r="L3" s="2"/>
    </row>
    <row r="4" spans="2:12" ht="11.25">
      <c r="B4" s="2"/>
      <c r="C4" s="2"/>
      <c r="D4" s="2"/>
      <c r="E4" s="2"/>
      <c r="F4" s="2" t="s">
        <v>2</v>
      </c>
      <c r="I4" s="2"/>
      <c r="J4" s="2"/>
      <c r="K4" s="2"/>
      <c r="L4" s="2"/>
    </row>
    <row r="5" spans="2:12" ht="11.25">
      <c r="B5" s="3"/>
      <c r="C5" s="3"/>
      <c r="D5" s="3"/>
      <c r="E5" s="3"/>
      <c r="F5" s="3" t="s">
        <v>3</v>
      </c>
      <c r="I5" s="3"/>
      <c r="J5" s="3"/>
      <c r="K5" s="3"/>
      <c r="L5" s="3"/>
    </row>
    <row r="6" spans="2:12" ht="11.25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1.25">
      <c r="A8" s="5"/>
      <c r="B8" s="5"/>
      <c r="C8" s="50">
        <v>2001</v>
      </c>
      <c r="D8" s="50"/>
      <c r="E8" s="50"/>
      <c r="F8" s="51"/>
      <c r="G8" s="49">
        <v>2000</v>
      </c>
      <c r="H8" s="50"/>
      <c r="I8" s="50"/>
      <c r="J8" s="51"/>
      <c r="K8" s="49" t="s">
        <v>4</v>
      </c>
      <c r="L8" s="51"/>
    </row>
    <row r="9" spans="1:12" s="6" customFormat="1" ht="11.25">
      <c r="A9" s="43"/>
      <c r="B9" s="43"/>
      <c r="C9" s="43" t="s">
        <v>5</v>
      </c>
      <c r="D9" s="43" t="s">
        <v>6</v>
      </c>
      <c r="E9" s="43" t="s">
        <v>7</v>
      </c>
      <c r="F9" s="43" t="s">
        <v>8</v>
      </c>
      <c r="G9" s="44" t="s">
        <v>5</v>
      </c>
      <c r="H9" s="45" t="s">
        <v>6</v>
      </c>
      <c r="I9" s="45" t="s">
        <v>7</v>
      </c>
      <c r="J9" s="46" t="s">
        <v>8</v>
      </c>
      <c r="K9" s="47" t="s">
        <v>9</v>
      </c>
      <c r="L9" s="48" t="s">
        <v>10</v>
      </c>
    </row>
    <row r="10" spans="1:12" ht="11.25">
      <c r="A10" s="6" t="s">
        <v>11</v>
      </c>
      <c r="B10" s="6"/>
      <c r="C10" s="6"/>
      <c r="D10" s="6"/>
      <c r="E10" s="6"/>
      <c r="F10" s="6"/>
      <c r="G10" s="7"/>
      <c r="H10" s="8"/>
      <c r="I10" s="8"/>
      <c r="J10" s="9"/>
      <c r="K10" s="7"/>
      <c r="L10" s="9"/>
    </row>
    <row r="11" spans="1:12" ht="11.25">
      <c r="A11" s="1" t="s">
        <v>12</v>
      </c>
      <c r="C11" s="10">
        <v>276739</v>
      </c>
      <c r="D11" s="10">
        <v>281121</v>
      </c>
      <c r="E11" s="10">
        <v>275483</v>
      </c>
      <c r="F11" s="10">
        <v>257224</v>
      </c>
      <c r="G11" s="11">
        <v>275675</v>
      </c>
      <c r="H11" s="12">
        <v>266479</v>
      </c>
      <c r="I11" s="12">
        <v>281521</v>
      </c>
      <c r="J11" s="13">
        <v>253395</v>
      </c>
      <c r="K11" s="11">
        <v>260065</v>
      </c>
      <c r="L11" s="13">
        <v>212581</v>
      </c>
    </row>
    <row r="12" spans="1:12" ht="11.25">
      <c r="A12" s="1" t="s">
        <v>13</v>
      </c>
      <c r="C12" s="10">
        <v>102475</v>
      </c>
      <c r="D12" s="10">
        <v>72040</v>
      </c>
      <c r="E12" s="10">
        <v>88391</v>
      </c>
      <c r="F12" s="10">
        <v>91169</v>
      </c>
      <c r="G12" s="11">
        <v>94265</v>
      </c>
      <c r="H12" s="12">
        <v>54562</v>
      </c>
      <c r="I12" s="12">
        <v>75368</v>
      </c>
      <c r="J12" s="13">
        <v>61385</v>
      </c>
      <c r="K12" s="11">
        <v>71987</v>
      </c>
      <c r="L12" s="13">
        <v>78242</v>
      </c>
    </row>
    <row r="13" spans="1:12" ht="11.25">
      <c r="A13" s="1" t="s">
        <v>14</v>
      </c>
      <c r="C13" s="10">
        <f aca="true" t="shared" si="0" ref="C13:L13">C14+C15</f>
        <v>141551</v>
      </c>
      <c r="D13" s="10">
        <f t="shared" si="0"/>
        <v>173518</v>
      </c>
      <c r="E13" s="10">
        <f t="shared" si="0"/>
        <v>154538</v>
      </c>
      <c r="F13" s="10">
        <f t="shared" si="0"/>
        <v>145766</v>
      </c>
      <c r="G13" s="11">
        <f t="shared" si="0"/>
        <v>158755</v>
      </c>
      <c r="H13" s="12">
        <f t="shared" si="0"/>
        <v>178478</v>
      </c>
      <c r="I13" s="12">
        <f t="shared" si="0"/>
        <v>169613</v>
      </c>
      <c r="J13" s="13">
        <f t="shared" si="0"/>
        <v>156675</v>
      </c>
      <c r="K13" s="11">
        <f t="shared" si="0"/>
        <v>150049</v>
      </c>
      <c r="L13" s="13">
        <f t="shared" si="0"/>
        <v>118482</v>
      </c>
    </row>
    <row r="14" spans="2:12" ht="11.25">
      <c r="B14" s="1" t="s">
        <v>15</v>
      </c>
      <c r="C14" s="10">
        <v>127853</v>
      </c>
      <c r="D14" s="10">
        <v>154792</v>
      </c>
      <c r="E14" s="10">
        <v>141533</v>
      </c>
      <c r="F14" s="10">
        <v>133686</v>
      </c>
      <c r="G14" s="11">
        <v>141994</v>
      </c>
      <c r="H14" s="12">
        <v>155223</v>
      </c>
      <c r="I14" s="12">
        <v>141216</v>
      </c>
      <c r="J14" s="13">
        <v>128990</v>
      </c>
      <c r="K14" s="11">
        <v>126370</v>
      </c>
      <c r="L14" s="13">
        <v>111752</v>
      </c>
    </row>
    <row r="15" spans="2:12" ht="11.25">
      <c r="B15" s="1" t="s">
        <v>16</v>
      </c>
      <c r="C15" s="10">
        <v>13698</v>
      </c>
      <c r="D15" s="10">
        <v>18726</v>
      </c>
      <c r="E15" s="10">
        <v>13005</v>
      </c>
      <c r="F15" s="10">
        <v>12080</v>
      </c>
      <c r="G15" s="11">
        <v>16761</v>
      </c>
      <c r="H15" s="12">
        <v>23255</v>
      </c>
      <c r="I15" s="12">
        <v>28397</v>
      </c>
      <c r="J15" s="13">
        <v>27685</v>
      </c>
      <c r="K15" s="11">
        <v>23679</v>
      </c>
      <c r="L15" s="13">
        <v>6730</v>
      </c>
    </row>
    <row r="16" spans="1:12" ht="11.25">
      <c r="A16" s="1" t="s">
        <v>17</v>
      </c>
      <c r="C16" s="10">
        <v>27332</v>
      </c>
      <c r="D16" s="10">
        <v>29811</v>
      </c>
      <c r="E16" s="10">
        <v>28881</v>
      </c>
      <c r="F16" s="10">
        <v>16349</v>
      </c>
      <c r="G16" s="11">
        <v>18827</v>
      </c>
      <c r="H16" s="12">
        <v>29258</v>
      </c>
      <c r="I16" s="12">
        <v>33222</v>
      </c>
      <c r="J16" s="13">
        <v>30868</v>
      </c>
      <c r="K16" s="11">
        <v>34108</v>
      </c>
      <c r="L16" s="13">
        <v>12529</v>
      </c>
    </row>
    <row r="17" spans="1:12" ht="11.25">
      <c r="A17" s="1" t="s">
        <v>18</v>
      </c>
      <c r="C17" s="10">
        <f aca="true" t="shared" si="1" ref="C17:L17">C18+C22</f>
        <v>240417</v>
      </c>
      <c r="D17" s="10">
        <f t="shared" si="1"/>
        <v>237132</v>
      </c>
      <c r="E17" s="10">
        <f t="shared" si="1"/>
        <v>233652</v>
      </c>
      <c r="F17" s="10">
        <f t="shared" si="1"/>
        <v>216643</v>
      </c>
      <c r="G17" s="11">
        <f t="shared" si="1"/>
        <v>228052</v>
      </c>
      <c r="H17" s="12">
        <f t="shared" si="1"/>
        <v>218716</v>
      </c>
      <c r="I17" s="12">
        <f t="shared" si="1"/>
        <v>234659</v>
      </c>
      <c r="J17" s="13">
        <f t="shared" si="1"/>
        <v>215392</v>
      </c>
      <c r="K17" s="11">
        <f t="shared" si="1"/>
        <v>212638</v>
      </c>
      <c r="L17" s="13">
        <f t="shared" si="1"/>
        <v>172360</v>
      </c>
    </row>
    <row r="18" spans="2:12" ht="11.25">
      <c r="B18" s="1" t="s">
        <v>15</v>
      </c>
      <c r="C18" s="10">
        <f aca="true" t="shared" si="2" ref="C18:L18">SUM(C19:C21)</f>
        <v>189463</v>
      </c>
      <c r="D18" s="10">
        <f t="shared" si="2"/>
        <v>189207</v>
      </c>
      <c r="E18" s="10">
        <f t="shared" si="2"/>
        <v>189927</v>
      </c>
      <c r="F18" s="10">
        <f t="shared" si="2"/>
        <v>174847</v>
      </c>
      <c r="G18" s="11">
        <f t="shared" si="2"/>
        <v>185703</v>
      </c>
      <c r="H18" s="12">
        <f t="shared" si="2"/>
        <v>176868</v>
      </c>
      <c r="I18" s="12">
        <f t="shared" si="2"/>
        <v>188931</v>
      </c>
      <c r="J18" s="13">
        <f t="shared" si="2"/>
        <v>167490</v>
      </c>
      <c r="K18" s="11">
        <f t="shared" si="2"/>
        <v>170204</v>
      </c>
      <c r="L18" s="13">
        <f t="shared" si="2"/>
        <v>139827</v>
      </c>
    </row>
    <row r="19" spans="2:12" ht="11.25">
      <c r="B19" s="1" t="s">
        <v>19</v>
      </c>
      <c r="C19" s="10">
        <v>0</v>
      </c>
      <c r="D19" s="10">
        <v>0</v>
      </c>
      <c r="E19" s="10">
        <v>0</v>
      </c>
      <c r="F19" s="10">
        <v>0</v>
      </c>
      <c r="G19" s="11">
        <v>0</v>
      </c>
      <c r="H19" s="12">
        <v>0</v>
      </c>
      <c r="I19" s="12">
        <v>0</v>
      </c>
      <c r="J19" s="13">
        <v>0</v>
      </c>
      <c r="K19" s="11">
        <v>0</v>
      </c>
      <c r="L19" s="13">
        <v>0</v>
      </c>
    </row>
    <row r="20" spans="2:12" ht="11.25">
      <c r="B20" s="1" t="s">
        <v>20</v>
      </c>
      <c r="C20" s="10">
        <v>175853</v>
      </c>
      <c r="D20" s="10">
        <v>171324</v>
      </c>
      <c r="E20" s="10">
        <v>162900</v>
      </c>
      <c r="F20" s="10">
        <v>151682</v>
      </c>
      <c r="G20" s="11">
        <v>147821</v>
      </c>
      <c r="H20" s="12">
        <v>136742</v>
      </c>
      <c r="I20" s="12">
        <v>142775</v>
      </c>
      <c r="J20" s="13">
        <v>144967</v>
      </c>
      <c r="K20" s="11">
        <v>141158</v>
      </c>
      <c r="L20" s="13">
        <v>112503</v>
      </c>
    </row>
    <row r="21" spans="2:12" ht="11.25">
      <c r="B21" s="1" t="s">
        <v>21</v>
      </c>
      <c r="C21" s="10">
        <v>13610</v>
      </c>
      <c r="D21" s="10">
        <v>17883</v>
      </c>
      <c r="E21" s="10">
        <v>27027</v>
      </c>
      <c r="F21" s="10">
        <v>23165</v>
      </c>
      <c r="G21" s="11">
        <v>37882</v>
      </c>
      <c r="H21" s="12">
        <v>40126</v>
      </c>
      <c r="I21" s="12">
        <v>46156</v>
      </c>
      <c r="J21" s="13">
        <v>22523</v>
      </c>
      <c r="K21" s="11">
        <v>29046</v>
      </c>
      <c r="L21" s="13">
        <v>27324</v>
      </c>
    </row>
    <row r="22" spans="2:12" ht="11.25">
      <c r="B22" s="1" t="s">
        <v>16</v>
      </c>
      <c r="C22" s="10">
        <f aca="true" t="shared" si="3" ref="C22:L22">SUM(C23:C24)</f>
        <v>50954</v>
      </c>
      <c r="D22" s="10">
        <f t="shared" si="3"/>
        <v>47925</v>
      </c>
      <c r="E22" s="10">
        <f t="shared" si="3"/>
        <v>43725</v>
      </c>
      <c r="F22" s="10">
        <f t="shared" si="3"/>
        <v>41796</v>
      </c>
      <c r="G22" s="11">
        <f t="shared" si="3"/>
        <v>42349</v>
      </c>
      <c r="H22" s="12">
        <f t="shared" si="3"/>
        <v>41848</v>
      </c>
      <c r="I22" s="12">
        <f t="shared" si="3"/>
        <v>45728</v>
      </c>
      <c r="J22" s="13">
        <f t="shared" si="3"/>
        <v>47902</v>
      </c>
      <c r="K22" s="11">
        <f t="shared" si="3"/>
        <v>42434</v>
      </c>
      <c r="L22" s="13">
        <f t="shared" si="3"/>
        <v>32533</v>
      </c>
    </row>
    <row r="23" spans="2:12" ht="11.25">
      <c r="B23" s="1" t="s">
        <v>20</v>
      </c>
      <c r="C23" s="10">
        <v>48069</v>
      </c>
      <c r="D23" s="10">
        <v>45984</v>
      </c>
      <c r="E23" s="10">
        <v>43311</v>
      </c>
      <c r="F23" s="10">
        <v>40094</v>
      </c>
      <c r="G23" s="11">
        <v>37625</v>
      </c>
      <c r="H23" s="12">
        <v>37942</v>
      </c>
      <c r="I23" s="12">
        <v>41350</v>
      </c>
      <c r="J23" s="13">
        <v>38616</v>
      </c>
      <c r="K23" s="11">
        <v>28646</v>
      </c>
      <c r="L23" s="13">
        <v>19003</v>
      </c>
    </row>
    <row r="24" spans="2:12" ht="11.25">
      <c r="B24" s="1" t="s">
        <v>21</v>
      </c>
      <c r="C24" s="10">
        <v>2885</v>
      </c>
      <c r="D24" s="10">
        <v>1941</v>
      </c>
      <c r="E24" s="10">
        <v>414</v>
      </c>
      <c r="F24" s="10">
        <v>1702</v>
      </c>
      <c r="G24" s="11">
        <v>4724</v>
      </c>
      <c r="H24" s="12">
        <v>3906</v>
      </c>
      <c r="I24" s="12">
        <v>4378</v>
      </c>
      <c r="J24" s="13">
        <v>9286</v>
      </c>
      <c r="K24" s="11">
        <v>13788</v>
      </c>
      <c r="L24" s="13">
        <v>13530</v>
      </c>
    </row>
    <row r="25" spans="1:12" ht="11.25">
      <c r="A25" s="4" t="s">
        <v>22</v>
      </c>
      <c r="B25" s="4"/>
      <c r="C25" s="14">
        <v>26946</v>
      </c>
      <c r="D25" s="14">
        <v>26280</v>
      </c>
      <c r="E25" s="14">
        <v>25785</v>
      </c>
      <c r="F25" s="14">
        <v>27676</v>
      </c>
      <c r="G25" s="15">
        <v>27139</v>
      </c>
      <c r="H25" s="14">
        <v>26291</v>
      </c>
      <c r="I25" s="14">
        <v>25627</v>
      </c>
      <c r="J25" s="16">
        <v>24667</v>
      </c>
      <c r="K25" s="15">
        <v>23828</v>
      </c>
      <c r="L25" s="16">
        <v>21562</v>
      </c>
    </row>
    <row r="26" spans="1:12" ht="11.25">
      <c r="A26" s="6" t="s">
        <v>23</v>
      </c>
      <c r="C26" s="10"/>
      <c r="D26" s="10"/>
      <c r="E26" s="10"/>
      <c r="F26" s="10"/>
      <c r="G26" s="11"/>
      <c r="H26" s="12"/>
      <c r="I26" s="12"/>
      <c r="J26" s="13"/>
      <c r="K26" s="11"/>
      <c r="L26" s="13"/>
    </row>
    <row r="27" spans="1:12" ht="11.25">
      <c r="A27" s="1" t="s">
        <v>12</v>
      </c>
      <c r="C27" s="10">
        <f>(C11+G11)/2</f>
        <v>276207</v>
      </c>
      <c r="D27" s="10">
        <f>(D11+H11)/2</f>
        <v>273800</v>
      </c>
      <c r="E27" s="10">
        <f>(E11+I11)/2</f>
        <v>278502</v>
      </c>
      <c r="F27" s="10">
        <v>267870</v>
      </c>
      <c r="G27" s="11">
        <v>267870</v>
      </c>
      <c r="H27" s="12">
        <f>+(H11+L11)/2</f>
        <v>239530</v>
      </c>
      <c r="I27" s="12">
        <v>271486</v>
      </c>
      <c r="J27" s="13">
        <v>234722</v>
      </c>
      <c r="K27" s="11">
        <f>(K11+L11)/2</f>
        <v>236323</v>
      </c>
      <c r="L27" s="13">
        <v>216117</v>
      </c>
    </row>
    <row r="28" spans="1:12" ht="11.25">
      <c r="A28" s="1" t="s">
        <v>24</v>
      </c>
      <c r="C28" s="10">
        <f aca="true" t="shared" si="4" ref="C28:L28">C29+C30</f>
        <v>173232.5</v>
      </c>
      <c r="D28" s="10">
        <f t="shared" si="4"/>
        <v>205532.5</v>
      </c>
      <c r="E28" s="10">
        <f t="shared" si="4"/>
        <v>193127</v>
      </c>
      <c r="F28" s="10">
        <f t="shared" si="4"/>
        <v>180869</v>
      </c>
      <c r="G28" s="11">
        <f t="shared" si="4"/>
        <v>180869</v>
      </c>
      <c r="H28" s="12">
        <f t="shared" si="4"/>
        <v>179998</v>
      </c>
      <c r="I28" s="12">
        <f t="shared" si="4"/>
        <v>185642</v>
      </c>
      <c r="J28" s="13">
        <f t="shared" si="4"/>
        <v>164063</v>
      </c>
      <c r="K28" s="11">
        <f t="shared" si="4"/>
        <v>157584</v>
      </c>
      <c r="L28" s="13">
        <f t="shared" si="4"/>
        <v>147041</v>
      </c>
    </row>
    <row r="29" spans="2:12" ht="11.25">
      <c r="B29" s="1" t="s">
        <v>14</v>
      </c>
      <c r="C29" s="10">
        <f>(C13+G13)/2</f>
        <v>150153</v>
      </c>
      <c r="D29" s="10">
        <f>(D13+H13)/2</f>
        <v>175998</v>
      </c>
      <c r="E29" s="10">
        <f>(E13+I13)/2</f>
        <v>162075.5</v>
      </c>
      <c r="F29" s="10">
        <v>154402</v>
      </c>
      <c r="G29" s="17">
        <v>154402</v>
      </c>
      <c r="H29" s="12">
        <f>+(H13+L13)/2</f>
        <v>148480</v>
      </c>
      <c r="I29" s="18">
        <v>154303</v>
      </c>
      <c r="J29" s="19">
        <v>135470</v>
      </c>
      <c r="K29" s="11">
        <f>(K13+L13)/2</f>
        <v>134265.5</v>
      </c>
      <c r="L29" s="19">
        <v>133684</v>
      </c>
    </row>
    <row r="30" spans="2:12" ht="11.25">
      <c r="B30" s="1" t="s">
        <v>17</v>
      </c>
      <c r="C30" s="10">
        <f>(C16+G16)/2</f>
        <v>23079.5</v>
      </c>
      <c r="D30" s="10">
        <f>(D16+H16)/2</f>
        <v>29534.5</v>
      </c>
      <c r="E30" s="10">
        <f>(E16+I16)/2</f>
        <v>31051.5</v>
      </c>
      <c r="F30" s="10">
        <v>26467</v>
      </c>
      <c r="G30" s="17">
        <v>26467</v>
      </c>
      <c r="H30" s="12">
        <v>31518</v>
      </c>
      <c r="I30" s="18">
        <v>31339</v>
      </c>
      <c r="J30" s="19">
        <v>28593</v>
      </c>
      <c r="K30" s="11">
        <f>(K16+L16)/2</f>
        <v>23318.5</v>
      </c>
      <c r="L30" s="19">
        <v>13357</v>
      </c>
    </row>
    <row r="31" spans="1:12" ht="11.25">
      <c r="A31" s="4" t="s">
        <v>22</v>
      </c>
      <c r="B31" s="4"/>
      <c r="C31" s="14">
        <f>(C25+G25)/2</f>
        <v>27042.5</v>
      </c>
      <c r="D31" s="14">
        <f>(D25+H25)/2</f>
        <v>26285.5</v>
      </c>
      <c r="E31" s="14">
        <f>(E25+I25)/2</f>
        <v>25706</v>
      </c>
      <c r="F31" s="14">
        <v>25483</v>
      </c>
      <c r="G31" s="20">
        <v>25483</v>
      </c>
      <c r="H31" s="14">
        <f>+(H25+L25)/2</f>
        <v>23926.5</v>
      </c>
      <c r="I31" s="4">
        <v>24006</v>
      </c>
      <c r="J31" s="21">
        <v>23271</v>
      </c>
      <c r="K31" s="15">
        <f>(K25+L25)/2</f>
        <v>22695</v>
      </c>
      <c r="L31" s="21">
        <v>19235</v>
      </c>
    </row>
    <row r="32" spans="1:12" ht="11.25">
      <c r="A32" s="6" t="s">
        <v>25</v>
      </c>
      <c r="C32" s="10"/>
      <c r="D32" s="10"/>
      <c r="E32" s="10"/>
      <c r="F32" s="10"/>
      <c r="G32" s="17"/>
      <c r="H32" s="18"/>
      <c r="I32" s="18"/>
      <c r="J32" s="19"/>
      <c r="K32" s="17"/>
      <c r="L32" s="19"/>
    </row>
    <row r="33" spans="1:12" ht="11.25">
      <c r="A33" s="1" t="s">
        <v>26</v>
      </c>
      <c r="C33" s="10">
        <v>21141</v>
      </c>
      <c r="D33" s="10">
        <v>16012</v>
      </c>
      <c r="E33" s="10">
        <v>10651</v>
      </c>
      <c r="F33" s="10">
        <v>5442</v>
      </c>
      <c r="G33" s="11">
        <v>23577</v>
      </c>
      <c r="H33" s="12">
        <v>17542</v>
      </c>
      <c r="I33" s="12">
        <v>11196</v>
      </c>
      <c r="J33" s="13">
        <v>5375</v>
      </c>
      <c r="K33" s="11">
        <v>20093</v>
      </c>
      <c r="L33" s="13">
        <v>20410</v>
      </c>
    </row>
    <row r="34" spans="1:12" ht="11.25">
      <c r="A34" s="1" t="s">
        <v>27</v>
      </c>
      <c r="C34" s="10">
        <v>17061</v>
      </c>
      <c r="D34" s="10">
        <v>12988</v>
      </c>
      <c r="E34" s="10">
        <v>8623</v>
      </c>
      <c r="F34" s="10">
        <v>4413</v>
      </c>
      <c r="G34" s="11">
        <v>18367</v>
      </c>
      <c r="H34" s="12">
        <v>13741</v>
      </c>
      <c r="I34" s="12">
        <v>8699</v>
      </c>
      <c r="J34" s="13">
        <v>4306</v>
      </c>
      <c r="K34" s="11">
        <v>16728</v>
      </c>
      <c r="L34" s="13">
        <v>16885</v>
      </c>
    </row>
    <row r="35" spans="1:12" ht="11.25">
      <c r="A35" s="1" t="s">
        <v>28</v>
      </c>
      <c r="C35" s="10">
        <f aca="true" t="shared" si="5" ref="C35:L35">C33-C34</f>
        <v>4080</v>
      </c>
      <c r="D35" s="10">
        <f t="shared" si="5"/>
        <v>3024</v>
      </c>
      <c r="E35" s="10">
        <f t="shared" si="5"/>
        <v>2028</v>
      </c>
      <c r="F35" s="10">
        <f t="shared" si="5"/>
        <v>1029</v>
      </c>
      <c r="G35" s="11">
        <f t="shared" si="5"/>
        <v>5210</v>
      </c>
      <c r="H35" s="12">
        <f t="shared" si="5"/>
        <v>3801</v>
      </c>
      <c r="I35" s="12">
        <f t="shared" si="5"/>
        <v>2497</v>
      </c>
      <c r="J35" s="13">
        <f t="shared" si="5"/>
        <v>1069</v>
      </c>
      <c r="K35" s="11">
        <f t="shared" si="5"/>
        <v>3365</v>
      </c>
      <c r="L35" s="13">
        <f t="shared" si="5"/>
        <v>3525</v>
      </c>
    </row>
    <row r="36" spans="1:12" ht="11.25">
      <c r="A36" s="1" t="s">
        <v>29</v>
      </c>
      <c r="C36" s="10">
        <v>1939</v>
      </c>
      <c r="D36" s="10">
        <v>1457</v>
      </c>
      <c r="E36" s="10">
        <v>950</v>
      </c>
      <c r="F36" s="10">
        <v>426</v>
      </c>
      <c r="G36" s="11">
        <v>2080</v>
      </c>
      <c r="H36" s="12">
        <v>1627</v>
      </c>
      <c r="I36" s="12">
        <v>1085</v>
      </c>
      <c r="J36" s="13">
        <v>634</v>
      </c>
      <c r="K36" s="11">
        <v>1677</v>
      </c>
      <c r="L36" s="13">
        <v>1527</v>
      </c>
    </row>
    <row r="37" spans="1:12" ht="11.25">
      <c r="A37" s="1" t="s">
        <v>30</v>
      </c>
      <c r="C37" s="10">
        <f aca="true" t="shared" si="6" ref="C37:L37">C35+C36</f>
        <v>6019</v>
      </c>
      <c r="D37" s="10">
        <f t="shared" si="6"/>
        <v>4481</v>
      </c>
      <c r="E37" s="10">
        <f t="shared" si="6"/>
        <v>2978</v>
      </c>
      <c r="F37" s="10">
        <f t="shared" si="6"/>
        <v>1455</v>
      </c>
      <c r="G37" s="11">
        <f t="shared" si="6"/>
        <v>7290</v>
      </c>
      <c r="H37" s="12">
        <f t="shared" si="6"/>
        <v>5428</v>
      </c>
      <c r="I37" s="12">
        <f t="shared" si="6"/>
        <v>3582</v>
      </c>
      <c r="J37" s="13">
        <f t="shared" si="6"/>
        <v>1703</v>
      </c>
      <c r="K37" s="11">
        <f t="shared" si="6"/>
        <v>5042</v>
      </c>
      <c r="L37" s="13">
        <f t="shared" si="6"/>
        <v>5052</v>
      </c>
    </row>
    <row r="38" spans="1:12" ht="11.25">
      <c r="A38" s="1" t="s">
        <v>31</v>
      </c>
      <c r="C38" s="10">
        <v>3122</v>
      </c>
      <c r="D38" s="10">
        <v>2344</v>
      </c>
      <c r="E38" s="10">
        <v>1708</v>
      </c>
      <c r="F38" s="10">
        <v>918</v>
      </c>
      <c r="G38" s="11">
        <v>3681</v>
      </c>
      <c r="H38" s="12">
        <v>2668</v>
      </c>
      <c r="I38" s="12">
        <v>1784</v>
      </c>
      <c r="J38" s="13">
        <v>864</v>
      </c>
      <c r="K38" s="11">
        <v>2609</v>
      </c>
      <c r="L38" s="13">
        <v>1957</v>
      </c>
    </row>
    <row r="39" spans="1:12" ht="11.25">
      <c r="A39" s="1" t="s">
        <v>32</v>
      </c>
      <c r="C39" s="10">
        <f aca="true" t="shared" si="7" ref="C39:L39">C37-C38</f>
        <v>2897</v>
      </c>
      <c r="D39" s="10">
        <f t="shared" si="7"/>
        <v>2137</v>
      </c>
      <c r="E39" s="10">
        <f t="shared" si="7"/>
        <v>1270</v>
      </c>
      <c r="F39" s="10">
        <f t="shared" si="7"/>
        <v>537</v>
      </c>
      <c r="G39" s="11">
        <f t="shared" si="7"/>
        <v>3609</v>
      </c>
      <c r="H39" s="12">
        <f t="shared" si="7"/>
        <v>2760</v>
      </c>
      <c r="I39" s="12">
        <f t="shared" si="7"/>
        <v>1798</v>
      </c>
      <c r="J39" s="13">
        <f t="shared" si="7"/>
        <v>839</v>
      </c>
      <c r="K39" s="11">
        <f t="shared" si="7"/>
        <v>2433</v>
      </c>
      <c r="L39" s="13">
        <f t="shared" si="7"/>
        <v>3095</v>
      </c>
    </row>
    <row r="40" spans="1:12" ht="11.25">
      <c r="A40" s="4" t="s">
        <v>33</v>
      </c>
      <c r="B40" s="4"/>
      <c r="C40" s="14">
        <v>994</v>
      </c>
      <c r="D40" s="14">
        <v>471</v>
      </c>
      <c r="E40" s="14">
        <v>-155</v>
      </c>
      <c r="F40" s="14">
        <v>537</v>
      </c>
      <c r="G40" s="15">
        <v>3609</v>
      </c>
      <c r="H40" s="14">
        <v>2760</v>
      </c>
      <c r="I40" s="14">
        <v>1798</v>
      </c>
      <c r="J40" s="16">
        <v>839</v>
      </c>
      <c r="K40" s="15">
        <v>2433</v>
      </c>
      <c r="L40" s="16">
        <v>3095</v>
      </c>
    </row>
    <row r="41" spans="1:12" ht="11.25">
      <c r="A41" s="6" t="s">
        <v>34</v>
      </c>
      <c r="C41" s="10"/>
      <c r="D41" s="10"/>
      <c r="E41" s="10"/>
      <c r="F41" s="10"/>
      <c r="G41" s="17"/>
      <c r="H41" s="18"/>
      <c r="I41" s="18"/>
      <c r="J41" s="19"/>
      <c r="K41" s="17"/>
      <c r="L41" s="19"/>
    </row>
    <row r="42" spans="1:12" ht="11.25">
      <c r="A42" s="1" t="s">
        <v>35</v>
      </c>
      <c r="C42" s="10">
        <v>4728</v>
      </c>
      <c r="D42" s="10">
        <v>4488</v>
      </c>
      <c r="E42" s="10">
        <v>3447</v>
      </c>
      <c r="F42" s="10">
        <v>3590</v>
      </c>
      <c r="G42" s="11">
        <v>3266</v>
      </c>
      <c r="H42" s="12">
        <v>1659</v>
      </c>
      <c r="I42" s="12">
        <v>1656</v>
      </c>
      <c r="J42" s="13">
        <v>1830</v>
      </c>
      <c r="K42" s="11">
        <v>799</v>
      </c>
      <c r="L42" s="13">
        <v>326</v>
      </c>
    </row>
    <row r="43" spans="1:12" ht="11.25">
      <c r="A43" s="1" t="s">
        <v>36</v>
      </c>
      <c r="C43" s="10">
        <v>3839</v>
      </c>
      <c r="D43" s="10">
        <v>3661</v>
      </c>
      <c r="E43" s="10">
        <v>3546</v>
      </c>
      <c r="F43" s="10">
        <v>2106</v>
      </c>
      <c r="G43" s="11">
        <v>1866</v>
      </c>
      <c r="H43" s="12">
        <v>1626</v>
      </c>
      <c r="I43" s="12">
        <v>1530</v>
      </c>
      <c r="J43" s="13">
        <v>1290</v>
      </c>
      <c r="K43" s="11">
        <v>1110</v>
      </c>
      <c r="L43" s="13">
        <v>870</v>
      </c>
    </row>
    <row r="44" spans="1:12" ht="11.25">
      <c r="A44" s="1" t="s">
        <v>37</v>
      </c>
      <c r="C44" s="22">
        <f aca="true" t="shared" si="8" ref="C44:L44">C42/C13</f>
        <v>0.03340138889870082</v>
      </c>
      <c r="D44" s="22">
        <f t="shared" si="8"/>
        <v>0.025864751783676622</v>
      </c>
      <c r="E44" s="22">
        <f t="shared" si="8"/>
        <v>0.0223051935446298</v>
      </c>
      <c r="F44" s="22">
        <f t="shared" si="8"/>
        <v>0.024628514193982137</v>
      </c>
      <c r="G44" s="23">
        <f t="shared" si="8"/>
        <v>0.02057258039116878</v>
      </c>
      <c r="H44" s="24">
        <f t="shared" si="8"/>
        <v>0.009295263281749011</v>
      </c>
      <c r="I44" s="24">
        <f t="shared" si="8"/>
        <v>0.009763402569378526</v>
      </c>
      <c r="J44" s="25">
        <f t="shared" si="8"/>
        <v>0.011680229775011968</v>
      </c>
      <c r="K44" s="23">
        <f t="shared" si="8"/>
        <v>0.005324927190451119</v>
      </c>
      <c r="L44" s="25">
        <f t="shared" si="8"/>
        <v>0.0027514727975557467</v>
      </c>
    </row>
    <row r="45" spans="1:12" ht="11.25">
      <c r="A45" s="1" t="s">
        <v>38</v>
      </c>
      <c r="C45" s="22">
        <f aca="true" t="shared" si="9" ref="C45:L45">C43/C42</f>
        <v>0.8119712351945855</v>
      </c>
      <c r="D45" s="22">
        <f t="shared" si="9"/>
        <v>0.8157308377896613</v>
      </c>
      <c r="E45" s="22">
        <f t="shared" si="9"/>
        <v>1.0287206266318538</v>
      </c>
      <c r="F45" s="22">
        <f t="shared" si="9"/>
        <v>0.5866295264623955</v>
      </c>
      <c r="G45" s="23">
        <f t="shared" si="9"/>
        <v>0.5713410900183711</v>
      </c>
      <c r="H45" s="24">
        <f t="shared" si="9"/>
        <v>0.9801084990958409</v>
      </c>
      <c r="I45" s="24">
        <f t="shared" si="9"/>
        <v>0.9239130434782609</v>
      </c>
      <c r="J45" s="25">
        <f t="shared" si="9"/>
        <v>0.7049180327868853</v>
      </c>
      <c r="K45" s="23">
        <f t="shared" si="9"/>
        <v>1.3892365456821025</v>
      </c>
      <c r="L45" s="25">
        <f t="shared" si="9"/>
        <v>2.668711656441718</v>
      </c>
    </row>
    <row r="46" spans="1:12" ht="11.25">
      <c r="A46" s="4" t="s">
        <v>39</v>
      </c>
      <c r="B46" s="4"/>
      <c r="C46" s="26">
        <f>C43/C13</f>
        <v>0.02712096700129282</v>
      </c>
      <c r="D46" s="26">
        <f>D43/D13</f>
        <v>0.021098675641720167</v>
      </c>
      <c r="E46" s="26">
        <f>E43/E13</f>
        <v>0.02294581268037635</v>
      </c>
      <c r="F46" s="26">
        <f aca="true" t="shared" si="10" ref="F46:L46">F43/F42</f>
        <v>0.5866295264623955</v>
      </c>
      <c r="G46" s="27">
        <f t="shared" si="10"/>
        <v>0.5713410900183711</v>
      </c>
      <c r="H46" s="26">
        <f t="shared" si="10"/>
        <v>0.9801084990958409</v>
      </c>
      <c r="I46" s="26">
        <f t="shared" si="10"/>
        <v>0.9239130434782609</v>
      </c>
      <c r="J46" s="28">
        <f t="shared" si="10"/>
        <v>0.7049180327868853</v>
      </c>
      <c r="K46" s="27">
        <f t="shared" si="10"/>
        <v>1.3892365456821025</v>
      </c>
      <c r="L46" s="28">
        <f t="shared" si="10"/>
        <v>2.668711656441718</v>
      </c>
    </row>
    <row r="47" spans="1:12" ht="11.25">
      <c r="A47" s="6" t="s">
        <v>40</v>
      </c>
      <c r="G47" s="17"/>
      <c r="H47" s="18"/>
      <c r="I47" s="18"/>
      <c r="J47" s="19"/>
      <c r="K47" s="17"/>
      <c r="L47" s="19"/>
    </row>
    <row r="48" spans="1:12" ht="11.25">
      <c r="A48" s="1" t="s">
        <v>41</v>
      </c>
      <c r="C48" s="22">
        <f aca="true" t="shared" si="11" ref="C48:L48">C25/(C13+C16)</f>
        <v>0.1595542476152129</v>
      </c>
      <c r="D48" s="22">
        <f t="shared" si="11"/>
        <v>0.1292486561189009</v>
      </c>
      <c r="E48" s="22">
        <f t="shared" si="11"/>
        <v>0.140579765455051</v>
      </c>
      <c r="F48" s="22">
        <f t="shared" si="11"/>
        <v>0.17071831724393177</v>
      </c>
      <c r="G48" s="23">
        <f t="shared" si="11"/>
        <v>0.15282517372256196</v>
      </c>
      <c r="H48" s="24">
        <f t="shared" si="11"/>
        <v>0.1265596718912466</v>
      </c>
      <c r="I48" s="24">
        <f t="shared" si="11"/>
        <v>0.12634407276850643</v>
      </c>
      <c r="J48" s="25">
        <f t="shared" si="11"/>
        <v>0.13152716976906628</v>
      </c>
      <c r="K48" s="23">
        <f t="shared" si="11"/>
        <v>0.12938959692001933</v>
      </c>
      <c r="L48" s="25">
        <f t="shared" si="11"/>
        <v>0.16458160001831906</v>
      </c>
    </row>
    <row r="49" spans="1:12" ht="11.25">
      <c r="A49" s="4" t="s">
        <v>42</v>
      </c>
      <c r="B49" s="4"/>
      <c r="C49" s="26">
        <f aca="true" t="shared" si="12" ref="C49:L49">C25/C13</f>
        <v>0.19036248419297638</v>
      </c>
      <c r="D49" s="26">
        <f t="shared" si="12"/>
        <v>0.15145402782420267</v>
      </c>
      <c r="E49" s="26">
        <f t="shared" si="12"/>
        <v>0.16685216581035084</v>
      </c>
      <c r="F49" s="26">
        <f t="shared" si="12"/>
        <v>0.189865949535557</v>
      </c>
      <c r="G49" s="27">
        <f t="shared" si="12"/>
        <v>0.17094894648987433</v>
      </c>
      <c r="H49" s="26">
        <f t="shared" si="12"/>
        <v>0.1473066708501888</v>
      </c>
      <c r="I49" s="26">
        <f t="shared" si="12"/>
        <v>0.15109101307093206</v>
      </c>
      <c r="J49" s="28">
        <f t="shared" si="12"/>
        <v>0.15744056167225148</v>
      </c>
      <c r="K49" s="27">
        <f t="shared" si="12"/>
        <v>0.15880145819032448</v>
      </c>
      <c r="L49" s="28">
        <f t="shared" si="12"/>
        <v>0.18198544926655524</v>
      </c>
    </row>
    <row r="50" spans="1:12" ht="11.25">
      <c r="A50" s="6" t="s">
        <v>43</v>
      </c>
      <c r="G50" s="17"/>
      <c r="H50" s="18"/>
      <c r="I50" s="18"/>
      <c r="J50" s="19"/>
      <c r="K50" s="17"/>
      <c r="L50" s="19"/>
    </row>
    <row r="51" spans="1:12" ht="11.25">
      <c r="A51" s="1" t="s">
        <v>44</v>
      </c>
      <c r="C51" s="29">
        <f aca="true" t="shared" si="13" ref="C51:L51">C12/C17</f>
        <v>0.42623857713888785</v>
      </c>
      <c r="D51" s="29">
        <f t="shared" si="13"/>
        <v>0.30379704131032503</v>
      </c>
      <c r="E51" s="29">
        <f t="shared" si="13"/>
        <v>0.37830191909335253</v>
      </c>
      <c r="F51" s="29">
        <f t="shared" si="13"/>
        <v>0.4208259671441034</v>
      </c>
      <c r="G51" s="30">
        <f t="shared" si="13"/>
        <v>0.41334870994334627</v>
      </c>
      <c r="H51" s="31">
        <f t="shared" si="13"/>
        <v>0.24946505971213812</v>
      </c>
      <c r="I51" s="31">
        <f t="shared" si="13"/>
        <v>0.32118094767300637</v>
      </c>
      <c r="J51" s="32">
        <f t="shared" si="13"/>
        <v>0.2849920145595008</v>
      </c>
      <c r="K51" s="30">
        <f t="shared" si="13"/>
        <v>0.33854249945917475</v>
      </c>
      <c r="L51" s="32">
        <f t="shared" si="13"/>
        <v>0.4539452309120446</v>
      </c>
    </row>
    <row r="52" spans="1:12" ht="11.25">
      <c r="A52" s="1" t="s">
        <v>45</v>
      </c>
      <c r="C52" s="29">
        <f aca="true" t="shared" si="14" ref="C52:L52">C12/C11</f>
        <v>0.3702947542630421</v>
      </c>
      <c r="D52" s="29">
        <f t="shared" si="14"/>
        <v>0.25625976003215695</v>
      </c>
      <c r="E52" s="29">
        <f t="shared" si="14"/>
        <v>0.3208582743762773</v>
      </c>
      <c r="F52" s="29">
        <f t="shared" si="14"/>
        <v>0.35443426740895095</v>
      </c>
      <c r="G52" s="30">
        <f t="shared" si="14"/>
        <v>0.3419425047610411</v>
      </c>
      <c r="H52" s="31">
        <f t="shared" si="14"/>
        <v>0.2047515939342312</v>
      </c>
      <c r="I52" s="31">
        <f t="shared" si="14"/>
        <v>0.26771715076317576</v>
      </c>
      <c r="J52" s="32">
        <f t="shared" si="14"/>
        <v>0.24225024171747667</v>
      </c>
      <c r="K52" s="30">
        <f t="shared" si="14"/>
        <v>0.2768038759540884</v>
      </c>
      <c r="L52" s="32">
        <f t="shared" si="14"/>
        <v>0.3680573522563164</v>
      </c>
    </row>
    <row r="53" spans="1:12" ht="11.25">
      <c r="A53" s="4" t="s">
        <v>46</v>
      </c>
      <c r="B53" s="4"/>
      <c r="C53" s="33">
        <f aca="true" t="shared" si="15" ref="C53:L53">(C12+C16)/C17</f>
        <v>0.5399243813873394</v>
      </c>
      <c r="D53" s="33">
        <f t="shared" si="15"/>
        <v>0.42951183307187557</v>
      </c>
      <c r="E53" s="33">
        <f t="shared" si="15"/>
        <v>0.5019088216664098</v>
      </c>
      <c r="F53" s="33">
        <f t="shared" si="15"/>
        <v>0.4962911333391801</v>
      </c>
      <c r="G53" s="34">
        <f t="shared" si="15"/>
        <v>0.49590444284636837</v>
      </c>
      <c r="H53" s="33">
        <f t="shared" si="15"/>
        <v>0.3832367087913093</v>
      </c>
      <c r="I53" s="33">
        <f t="shared" si="15"/>
        <v>0.46275659574105404</v>
      </c>
      <c r="J53" s="35">
        <f t="shared" si="15"/>
        <v>0.4283028153320458</v>
      </c>
      <c r="K53" s="34">
        <f t="shared" si="15"/>
        <v>0.49894656646507207</v>
      </c>
      <c r="L53" s="35">
        <f t="shared" si="15"/>
        <v>0.5266361104664655</v>
      </c>
    </row>
    <row r="54" spans="1:12" ht="11.25">
      <c r="A54" s="6" t="s">
        <v>47</v>
      </c>
      <c r="G54" s="17"/>
      <c r="H54" s="18"/>
      <c r="I54" s="18"/>
      <c r="J54" s="19"/>
      <c r="K54" s="17"/>
      <c r="L54" s="19"/>
    </row>
    <row r="55" spans="1:12" ht="11.25">
      <c r="A55" s="1" t="s">
        <v>48</v>
      </c>
      <c r="B55" s="18"/>
      <c r="C55" s="24">
        <f>(C40)/C28</f>
        <v>0.005737953328619053</v>
      </c>
      <c r="D55" s="22">
        <f>((D40)/0.75)/D28</f>
        <v>0.003055477844136572</v>
      </c>
      <c r="E55" s="22">
        <f>((E40)/0.5)/E28</f>
        <v>-0.001605161370497134</v>
      </c>
      <c r="F55" s="22">
        <f>((F40)/0.25)/F28</f>
        <v>0.011875998650957323</v>
      </c>
      <c r="G55" s="23">
        <f>(G40)/G28</f>
        <v>0.019953668124443658</v>
      </c>
      <c r="H55" s="24">
        <f>((H40)/0.75)/H28</f>
        <v>0.020444671607462304</v>
      </c>
      <c r="I55" s="24">
        <f>((I40)/0.5)/I28</f>
        <v>0.01937061656306224</v>
      </c>
      <c r="J55" s="25">
        <f>((J40)/0.25)/J28</f>
        <v>0.020455556706874798</v>
      </c>
      <c r="K55" s="23">
        <f>K40/K28</f>
        <v>0.015439384709107523</v>
      </c>
      <c r="L55" s="25">
        <f>L40/L28</f>
        <v>0.021048551084391427</v>
      </c>
    </row>
    <row r="56" spans="1:12" ht="11.25">
      <c r="A56" s="1" t="s">
        <v>49</v>
      </c>
      <c r="B56" s="18"/>
      <c r="C56" s="24">
        <f>(C40)/C27</f>
        <v>0.0035987502127027915</v>
      </c>
      <c r="D56" s="22">
        <f>((D40)/0.75)/D27</f>
        <v>0.002293644996347699</v>
      </c>
      <c r="E56" s="22">
        <f>((E40)/0.5)/E27</f>
        <v>-0.0011130979310741036</v>
      </c>
      <c r="F56" s="22">
        <f>((F40)/0.25)/F27</f>
        <v>0.00801881509687535</v>
      </c>
      <c r="G56" s="23">
        <f>(G40)/G27</f>
        <v>0.013472953298241684</v>
      </c>
      <c r="H56" s="24">
        <f>((H40)/0.75)/H27</f>
        <v>0.015363420030893834</v>
      </c>
      <c r="I56" s="24">
        <f>((I40)/0.5)/I27</f>
        <v>0.013245618558599707</v>
      </c>
      <c r="J56" s="25">
        <f>((J40)/0.25)/J27</f>
        <v>0.014297765015635518</v>
      </c>
      <c r="K56" s="23">
        <f>K40/K27</f>
        <v>0.010295231526343183</v>
      </c>
      <c r="L56" s="25">
        <f>L40/L27</f>
        <v>0.014320946524336355</v>
      </c>
    </row>
    <row r="57" spans="1:12" ht="11.25">
      <c r="A57" s="1" t="s">
        <v>50</v>
      </c>
      <c r="B57" s="18"/>
      <c r="C57" s="24">
        <f>(C40)/C31</f>
        <v>0.03675695664232227</v>
      </c>
      <c r="D57" s="22">
        <f>((D40)/0.75)/D31</f>
        <v>0.02389149911548192</v>
      </c>
      <c r="E57" s="22">
        <f>((E40)/0.5)/E31</f>
        <v>-0.012059441375554345</v>
      </c>
      <c r="F57" s="22">
        <f>((F40)/0.25)/F31</f>
        <v>0.08429148844327591</v>
      </c>
      <c r="G57" s="23">
        <f>(G40)/G31</f>
        <v>0.14162382764980574</v>
      </c>
      <c r="H57" s="24">
        <f>((H40)/0.75)/H31</f>
        <v>0.1538043591833323</v>
      </c>
      <c r="I57" s="24">
        <f>((I40)/0.5)/I31</f>
        <v>0.14979588436224278</v>
      </c>
      <c r="J57" s="25">
        <f>((J40)/0.25)/J31</f>
        <v>0.14421382837007435</v>
      </c>
      <c r="K57" s="23">
        <f>K40/K31</f>
        <v>0.10720423000660939</v>
      </c>
      <c r="L57" s="25">
        <f>L40/L31</f>
        <v>0.1609046009877827</v>
      </c>
    </row>
    <row r="58" spans="1:12" ht="11.25">
      <c r="A58" s="1" t="s">
        <v>51</v>
      </c>
      <c r="B58" s="18"/>
      <c r="C58" s="24">
        <f aca="true" t="shared" si="16" ref="C58:L58">(C33)/C28</f>
        <v>0.12203830112709797</v>
      </c>
      <c r="D58" s="24">
        <f t="shared" si="16"/>
        <v>0.07790495420432292</v>
      </c>
      <c r="E58" s="24">
        <f t="shared" si="16"/>
        <v>0.05515023792633863</v>
      </c>
      <c r="F58" s="25">
        <f t="shared" si="16"/>
        <v>0.0300880747944645</v>
      </c>
      <c r="G58" s="24">
        <f t="shared" si="16"/>
        <v>0.13035401312552178</v>
      </c>
      <c r="H58" s="24">
        <f t="shared" si="16"/>
        <v>0.09745663840709341</v>
      </c>
      <c r="I58" s="24">
        <f t="shared" si="16"/>
        <v>0.06030962820913371</v>
      </c>
      <c r="J58" s="25">
        <f t="shared" si="16"/>
        <v>0.03276180491640406</v>
      </c>
      <c r="K58" s="23">
        <f t="shared" si="16"/>
        <v>0.12750659965478728</v>
      </c>
      <c r="L58" s="25">
        <f t="shared" si="16"/>
        <v>0.13880482314456513</v>
      </c>
    </row>
    <row r="59" spans="1:12" ht="11.25">
      <c r="A59" s="1" t="s">
        <v>52</v>
      </c>
      <c r="B59" s="18"/>
      <c r="C59" s="24">
        <f aca="true" t="shared" si="17" ref="C59:L59">(C34)/C28</f>
        <v>0.09848613857099563</v>
      </c>
      <c r="D59" s="24">
        <f t="shared" si="17"/>
        <v>0.06319195261090095</v>
      </c>
      <c r="E59" s="24">
        <f t="shared" si="17"/>
        <v>0.04464937579934447</v>
      </c>
      <c r="F59" s="25">
        <f t="shared" si="17"/>
        <v>0.024398874323405338</v>
      </c>
      <c r="G59" s="24">
        <f t="shared" si="17"/>
        <v>0.10154863464717558</v>
      </c>
      <c r="H59" s="24">
        <f t="shared" si="17"/>
        <v>0.07633973710819009</v>
      </c>
      <c r="I59" s="24">
        <f t="shared" si="17"/>
        <v>0.046859008198575754</v>
      </c>
      <c r="J59" s="25">
        <f t="shared" si="17"/>
        <v>0.026246015250239237</v>
      </c>
      <c r="K59" s="23">
        <f t="shared" si="17"/>
        <v>0.10615290892476394</v>
      </c>
      <c r="L59" s="25">
        <f t="shared" si="17"/>
        <v>0.11483191762841656</v>
      </c>
    </row>
    <row r="60" spans="1:12" ht="11.25">
      <c r="A60" s="1" t="s">
        <v>53</v>
      </c>
      <c r="B60" s="18"/>
      <c r="C60" s="24">
        <f aca="true" t="shared" si="18" ref="C60:L60">(C35)/C28</f>
        <v>0.02355216255610235</v>
      </c>
      <c r="D60" s="24">
        <f t="shared" si="18"/>
        <v>0.014713001593421964</v>
      </c>
      <c r="E60" s="24">
        <f t="shared" si="18"/>
        <v>0.010500862126994154</v>
      </c>
      <c r="F60" s="25">
        <f t="shared" si="18"/>
        <v>0.005689200471059164</v>
      </c>
      <c r="G60" s="24">
        <f t="shared" si="18"/>
        <v>0.028805378478346206</v>
      </c>
      <c r="H60" s="24">
        <f t="shared" si="18"/>
        <v>0.021116901298903323</v>
      </c>
      <c r="I60" s="24">
        <f t="shared" si="18"/>
        <v>0.013450620010557955</v>
      </c>
      <c r="J60" s="25">
        <f t="shared" si="18"/>
        <v>0.0065157896661648266</v>
      </c>
      <c r="K60" s="23">
        <f t="shared" si="18"/>
        <v>0.021353690730023352</v>
      </c>
      <c r="L60" s="25">
        <f t="shared" si="18"/>
        <v>0.023972905516148557</v>
      </c>
    </row>
    <row r="61" spans="1:12" ht="11.25">
      <c r="A61" s="1" t="s">
        <v>54</v>
      </c>
      <c r="B61" s="18"/>
      <c r="C61" s="24">
        <f>(C38)/(C37)</f>
        <v>0.5186908124273135</v>
      </c>
      <c r="D61" s="24">
        <f>(D38/0.75)/(D37/0.75)</f>
        <v>0.5230975228743584</v>
      </c>
      <c r="E61" s="24">
        <f>(E38/0.5)/(E37/0.5)</f>
        <v>0.5735392881128274</v>
      </c>
      <c r="F61" s="25">
        <f>(F38/0.25)/(F37/0.25)</f>
        <v>0.6309278350515464</v>
      </c>
      <c r="G61" s="24">
        <f>(G38)/(G37)</f>
        <v>0.5049382716049383</v>
      </c>
      <c r="H61" s="24">
        <f>((H38)/0.75)/((H37)/0.75)</f>
        <v>0.4915254237288136</v>
      </c>
      <c r="I61" s="24">
        <f>((I38)/0.5)/((I37)/0.5)</f>
        <v>0.4980457844779453</v>
      </c>
      <c r="J61" s="25">
        <f>(J38/0.25)/(J37/0.25)</f>
        <v>0.5073399882560188</v>
      </c>
      <c r="K61" s="23">
        <f>K38/K37</f>
        <v>0.517453391511305</v>
      </c>
      <c r="L61" s="25">
        <f>L38/L37</f>
        <v>0.38737133808392715</v>
      </c>
    </row>
    <row r="62" spans="1:12" ht="11.25">
      <c r="A62" s="4" t="s">
        <v>55</v>
      </c>
      <c r="B62" s="4"/>
      <c r="C62" s="26">
        <f aca="true" t="shared" si="19" ref="C62:L62">(C36)/C28</f>
        <v>0.011193049803010405</v>
      </c>
      <c r="D62" s="26">
        <f t="shared" si="19"/>
        <v>0.007088903214820041</v>
      </c>
      <c r="E62" s="26">
        <f t="shared" si="19"/>
        <v>0.004919042909587991</v>
      </c>
      <c r="F62" s="28">
        <f t="shared" si="19"/>
        <v>0.002355295821837905</v>
      </c>
      <c r="G62" s="26">
        <f t="shared" si="19"/>
        <v>0.011500035937612304</v>
      </c>
      <c r="H62" s="26">
        <f t="shared" si="19"/>
        <v>0.009038989322103579</v>
      </c>
      <c r="I62" s="26">
        <f t="shared" si="19"/>
        <v>0.005844582583682572</v>
      </c>
      <c r="J62" s="28">
        <f t="shared" si="19"/>
        <v>0.003864369175255847</v>
      </c>
      <c r="K62" s="27">
        <f t="shared" si="19"/>
        <v>0.01064194334450198</v>
      </c>
      <c r="L62" s="28">
        <f t="shared" si="19"/>
        <v>0.010384858644867758</v>
      </c>
    </row>
    <row r="63" spans="1:12" ht="11.25">
      <c r="A63" s="6" t="s">
        <v>56</v>
      </c>
      <c r="B63" s="18"/>
      <c r="G63" s="17"/>
      <c r="H63" s="18"/>
      <c r="I63" s="18"/>
      <c r="J63" s="19"/>
      <c r="K63" s="17"/>
      <c r="L63" s="19"/>
    </row>
    <row r="64" spans="1:12" ht="11.25">
      <c r="A64" s="1" t="s">
        <v>57</v>
      </c>
      <c r="B64" s="18"/>
      <c r="C64" s="10">
        <v>70</v>
      </c>
      <c r="D64" s="10">
        <v>70</v>
      </c>
      <c r="E64" s="10">
        <v>70</v>
      </c>
      <c r="F64" s="10">
        <v>69</v>
      </c>
      <c r="G64" s="11">
        <v>64</v>
      </c>
      <c r="H64" s="12">
        <v>61</v>
      </c>
      <c r="I64" s="12">
        <v>60</v>
      </c>
      <c r="J64" s="13">
        <v>54</v>
      </c>
      <c r="K64" s="11">
        <v>53</v>
      </c>
      <c r="L64" s="13">
        <v>44</v>
      </c>
    </row>
    <row r="65" spans="1:12" ht="11.25">
      <c r="A65" s="1" t="s">
        <v>58</v>
      </c>
      <c r="B65" s="18"/>
      <c r="C65" s="10">
        <v>2</v>
      </c>
      <c r="D65" s="10">
        <v>2</v>
      </c>
      <c r="E65" s="10">
        <v>2</v>
      </c>
      <c r="F65" s="10">
        <v>2</v>
      </c>
      <c r="G65" s="11">
        <v>2</v>
      </c>
      <c r="H65" s="12">
        <v>2</v>
      </c>
      <c r="I65" s="12">
        <v>2</v>
      </c>
      <c r="J65" s="13">
        <v>2</v>
      </c>
      <c r="K65" s="11">
        <v>2</v>
      </c>
      <c r="L65" s="13">
        <v>2</v>
      </c>
    </row>
    <row r="66" spans="1:12" ht="11.25">
      <c r="A66" s="1" t="s">
        <v>59</v>
      </c>
      <c r="B66" s="18"/>
      <c r="C66" s="36">
        <f aca="true" t="shared" si="20" ref="C66:L66">C13/C64</f>
        <v>2022.1571428571428</v>
      </c>
      <c r="D66" s="36">
        <f t="shared" si="20"/>
        <v>2478.8285714285716</v>
      </c>
      <c r="E66" s="36">
        <f t="shared" si="20"/>
        <v>2207.6857142857143</v>
      </c>
      <c r="F66" s="36">
        <f t="shared" si="20"/>
        <v>2112.550724637681</v>
      </c>
      <c r="G66" s="37">
        <f t="shared" si="20"/>
        <v>2480.546875</v>
      </c>
      <c r="H66" s="38">
        <f t="shared" si="20"/>
        <v>2925.8688524590166</v>
      </c>
      <c r="I66" s="38">
        <f t="shared" si="20"/>
        <v>2826.883333333333</v>
      </c>
      <c r="J66" s="39">
        <f t="shared" si="20"/>
        <v>2901.3888888888887</v>
      </c>
      <c r="K66" s="37">
        <f t="shared" si="20"/>
        <v>2831.1132075471696</v>
      </c>
      <c r="L66" s="39">
        <f t="shared" si="20"/>
        <v>2692.7727272727275</v>
      </c>
    </row>
    <row r="67" spans="1:12" ht="11.25">
      <c r="A67" s="1" t="s">
        <v>60</v>
      </c>
      <c r="B67" s="18"/>
      <c r="C67" s="36">
        <f aca="true" t="shared" si="21" ref="C67:L67">C17/C64</f>
        <v>3434.5285714285715</v>
      </c>
      <c r="D67" s="36">
        <f t="shared" si="21"/>
        <v>3387.6</v>
      </c>
      <c r="E67" s="36">
        <f t="shared" si="21"/>
        <v>3337.885714285714</v>
      </c>
      <c r="F67" s="36">
        <f t="shared" si="21"/>
        <v>3139.753623188406</v>
      </c>
      <c r="G67" s="37">
        <f t="shared" si="21"/>
        <v>3563.3125</v>
      </c>
      <c r="H67" s="38">
        <f t="shared" si="21"/>
        <v>3585.5081967213114</v>
      </c>
      <c r="I67" s="38">
        <f t="shared" si="21"/>
        <v>3910.983333333333</v>
      </c>
      <c r="J67" s="39">
        <f t="shared" si="21"/>
        <v>3988.740740740741</v>
      </c>
      <c r="K67" s="37">
        <f t="shared" si="21"/>
        <v>4012.0377358490564</v>
      </c>
      <c r="L67" s="39">
        <f t="shared" si="21"/>
        <v>3917.2727272727275</v>
      </c>
    </row>
    <row r="68" spans="1:12" ht="11.25">
      <c r="A68" s="4" t="s">
        <v>61</v>
      </c>
      <c r="B68" s="4"/>
      <c r="C68" s="40">
        <f aca="true" t="shared" si="22" ref="C68:L68">C40/C64</f>
        <v>14.2</v>
      </c>
      <c r="D68" s="40">
        <f t="shared" si="22"/>
        <v>6.728571428571429</v>
      </c>
      <c r="E68" s="40">
        <f t="shared" si="22"/>
        <v>-2.2142857142857144</v>
      </c>
      <c r="F68" s="40">
        <f t="shared" si="22"/>
        <v>7.782608695652174</v>
      </c>
      <c r="G68" s="41">
        <f t="shared" si="22"/>
        <v>56.390625</v>
      </c>
      <c r="H68" s="40">
        <f t="shared" si="22"/>
        <v>45.24590163934426</v>
      </c>
      <c r="I68" s="40">
        <f t="shared" si="22"/>
        <v>29.966666666666665</v>
      </c>
      <c r="J68" s="42">
        <f t="shared" si="22"/>
        <v>15.537037037037036</v>
      </c>
      <c r="K68" s="41">
        <f t="shared" si="22"/>
        <v>45.905660377358494</v>
      </c>
      <c r="L68" s="42">
        <f t="shared" si="22"/>
        <v>70.3409090909091</v>
      </c>
    </row>
    <row r="69" spans="1:12" ht="11.25">
      <c r="A69" s="6" t="s">
        <v>62</v>
      </c>
      <c r="B69" s="18"/>
      <c r="G69" s="17"/>
      <c r="H69" s="18"/>
      <c r="I69" s="18"/>
      <c r="J69" s="19"/>
      <c r="K69" s="17"/>
      <c r="L69" s="19"/>
    </row>
    <row r="70" spans="1:12" ht="11.25">
      <c r="A70" s="1" t="s">
        <v>63</v>
      </c>
      <c r="B70" s="18"/>
      <c r="C70" s="22">
        <f>(C11-G11)/G11</f>
        <v>0.003859617302983586</v>
      </c>
      <c r="D70" s="22">
        <f>(D11-H11)/H11</f>
        <v>0.05494616836598756</v>
      </c>
      <c r="E70" s="22">
        <f>(E11-I11)/I11</f>
        <v>-0.021447778318491338</v>
      </c>
      <c r="F70" s="22">
        <f>(F11-J11)/J11</f>
        <v>0.015110795398488527</v>
      </c>
      <c r="G70" s="23">
        <f>(G11-K11)/K11</f>
        <v>0.060023455674542904</v>
      </c>
      <c r="H70" s="24">
        <f>(H11-246849)/249846</f>
        <v>0.07856839813325008</v>
      </c>
      <c r="I70" s="24">
        <f>(I11-261452)/261452</f>
        <v>0.0767597876474458</v>
      </c>
      <c r="J70" s="25">
        <f>(J11-216049)/216049</f>
        <v>0.17285893477868447</v>
      </c>
      <c r="K70" s="23">
        <f>(K11-L11)/L11</f>
        <v>0.22336897464966296</v>
      </c>
      <c r="L70" s="25">
        <f>(L11-219652)/219652</f>
        <v>-0.03219183071403857</v>
      </c>
    </row>
    <row r="71" spans="1:12" ht="11.25">
      <c r="A71" s="1" t="s">
        <v>64</v>
      </c>
      <c r="B71" s="18"/>
      <c r="C71" s="22">
        <f aca="true" t="shared" si="23" ref="C71:E73">(C13-G13)/G13</f>
        <v>-0.10836824037038204</v>
      </c>
      <c r="D71" s="22">
        <f t="shared" si="23"/>
        <v>-0.02779054001053351</v>
      </c>
      <c r="E71" s="22">
        <f t="shared" si="23"/>
        <v>-0.08887880056363605</v>
      </c>
      <c r="F71" s="22">
        <f aca="true" t="shared" si="24" ref="F71:G73">F13/J13-1</f>
        <v>-0.06962821126535823</v>
      </c>
      <c r="G71" s="23">
        <f t="shared" si="24"/>
        <v>0.05802104645815698</v>
      </c>
      <c r="H71" s="24">
        <f>H13/154416-1</f>
        <v>0.15582582115842913</v>
      </c>
      <c r="I71" s="24">
        <f>I13/138994-1</f>
        <v>0.2202900844640776</v>
      </c>
      <c r="J71" s="25">
        <f>J13/114265-1</f>
        <v>0.3711547718023891</v>
      </c>
      <c r="K71" s="23">
        <f>K13/L13-1</f>
        <v>0.2664286558295774</v>
      </c>
      <c r="L71" s="25">
        <f>L13/148885-1</f>
        <v>-0.20420458743325387</v>
      </c>
    </row>
    <row r="72" spans="2:12" ht="11.25">
      <c r="B72" s="18" t="s">
        <v>15</v>
      </c>
      <c r="C72" s="22">
        <f t="shared" si="23"/>
        <v>-0.09958871501612744</v>
      </c>
      <c r="D72" s="22">
        <f t="shared" si="23"/>
        <v>-0.002776650367535739</v>
      </c>
      <c r="E72" s="22">
        <f t="shared" si="23"/>
        <v>0.002244788125991389</v>
      </c>
      <c r="F72" s="22">
        <f t="shared" si="24"/>
        <v>0.03640592293976286</v>
      </c>
      <c r="G72" s="23">
        <f t="shared" si="24"/>
        <v>0.1236369391469494</v>
      </c>
      <c r="H72" s="24">
        <f>H14/130523-1</f>
        <v>0.18923867824061658</v>
      </c>
      <c r="I72" s="24">
        <f>I14/116221-1</f>
        <v>0.21506440316293962</v>
      </c>
      <c r="J72" s="25">
        <f>J14/108392-1</f>
        <v>0.19003247472138174</v>
      </c>
      <c r="K72" s="23">
        <f>(K14-L14)/L14</f>
        <v>0.13080750232658028</v>
      </c>
      <c r="L72" s="25">
        <f>(L14-99695)/99695</f>
        <v>0.12093886353377803</v>
      </c>
    </row>
    <row r="73" spans="2:12" ht="11.25">
      <c r="B73" s="18" t="s">
        <v>16</v>
      </c>
      <c r="C73" s="24">
        <f t="shared" si="23"/>
        <v>-0.18274565956685163</v>
      </c>
      <c r="D73" s="22">
        <f t="shared" si="23"/>
        <v>-0.19475381638357342</v>
      </c>
      <c r="E73" s="22">
        <f t="shared" si="23"/>
        <v>-0.5420290875796739</v>
      </c>
      <c r="F73" s="22">
        <f t="shared" si="24"/>
        <v>-0.5636626331948709</v>
      </c>
      <c r="G73" s="23">
        <f t="shared" si="24"/>
        <v>-0.2921576080070949</v>
      </c>
      <c r="H73" s="24">
        <f>H15/23893-1</f>
        <v>-0.026702381450634083</v>
      </c>
      <c r="I73" s="24">
        <f>I15/22773-1</f>
        <v>0.2469591182540729</v>
      </c>
      <c r="J73" s="25">
        <f>J15/5873-1</f>
        <v>3.7139451728247916</v>
      </c>
      <c r="K73" s="23">
        <f>(K15-L15)/L15</f>
        <v>2.5184249628528974</v>
      </c>
      <c r="L73" s="25">
        <f>(L15-49189)/49189</f>
        <v>-0.8631807924535974</v>
      </c>
    </row>
    <row r="74" spans="1:12" ht="11.25">
      <c r="A74" s="1" t="s">
        <v>65</v>
      </c>
      <c r="B74" s="18"/>
      <c r="C74" s="22">
        <f aca="true" t="shared" si="25" ref="C74:E75">(C17-G17)/G17</f>
        <v>0.05422009015487696</v>
      </c>
      <c r="D74" s="22">
        <f t="shared" si="25"/>
        <v>0.08420051573730317</v>
      </c>
      <c r="E74" s="22">
        <f t="shared" si="25"/>
        <v>-0.004291333381630366</v>
      </c>
      <c r="F74" s="22">
        <f>F17/J17-1</f>
        <v>0.005808015153766055</v>
      </c>
      <c r="G74" s="23">
        <f>G17/K17-1</f>
        <v>0.07248939512222652</v>
      </c>
      <c r="H74" s="24">
        <f>H17/198366-1</f>
        <v>0.10258814514584147</v>
      </c>
      <c r="I74" s="24">
        <f>I17/216342-1</f>
        <v>0.08466687004834927</v>
      </c>
      <c r="J74" s="25">
        <f>J17/183176-1</f>
        <v>0.1758745687207932</v>
      </c>
      <c r="K74" s="23">
        <f>K17/L17-1</f>
        <v>0.2336853098166627</v>
      </c>
      <c r="L74" s="25">
        <f>L17/185460-1</f>
        <v>-0.07063517739674319</v>
      </c>
    </row>
    <row r="75" spans="2:12" ht="11.25">
      <c r="B75" s="18" t="s">
        <v>15</v>
      </c>
      <c r="C75" s="22">
        <f t="shared" si="25"/>
        <v>0.020247384264120667</v>
      </c>
      <c r="D75" s="22">
        <f t="shared" si="25"/>
        <v>0.0697638917158559</v>
      </c>
      <c r="E75" s="22">
        <f t="shared" si="25"/>
        <v>0.005271765882782603</v>
      </c>
      <c r="F75" s="22">
        <f>F18/J18-1</f>
        <v>0.04392501044838504</v>
      </c>
      <c r="G75" s="23">
        <f>G18/L18-1</f>
        <v>0.32809114119590643</v>
      </c>
      <c r="H75" s="24">
        <f>H18/156030-1</f>
        <v>0.13355124014612585</v>
      </c>
      <c r="I75" s="24">
        <f>I18/174202-1</f>
        <v>0.08455126806810487</v>
      </c>
      <c r="J75" s="25">
        <f>J18/145899-1</f>
        <v>0.14798593547591143</v>
      </c>
      <c r="K75" s="23">
        <f>(K18-L18)/L18</f>
        <v>0.21724702668297252</v>
      </c>
      <c r="L75" s="25">
        <f>(L18-109653)/109653</f>
        <v>0.27517714973598534</v>
      </c>
    </row>
    <row r="76" spans="2:12" ht="11.25">
      <c r="B76" s="18" t="s">
        <v>16</v>
      </c>
      <c r="C76" s="22">
        <f>(C22-G22)/G22</f>
        <v>0.20319251930387966</v>
      </c>
      <c r="D76" s="22">
        <f>(D22-H22)/H22</f>
        <v>0.1452160198814758</v>
      </c>
      <c r="E76" s="22">
        <f>(E22-I22)/I22</f>
        <v>-0.043802484254723585</v>
      </c>
      <c r="F76" s="22">
        <f>F22/J22-1</f>
        <v>-0.12746858168761221</v>
      </c>
      <c r="G76" s="23">
        <f>G22/K22-1</f>
        <v>-0.0020031107131074366</v>
      </c>
      <c r="H76" s="24">
        <f>H22/42336-1</f>
        <v>-0.011526832955404354</v>
      </c>
      <c r="I76" s="24">
        <f>I22/42140-1</f>
        <v>0.08514475557664936</v>
      </c>
      <c r="J76" s="25">
        <f>J22/37277-1</f>
        <v>0.2850283016337152</v>
      </c>
      <c r="K76" s="23">
        <f>(K22-L22)/L22</f>
        <v>0.30433713460178896</v>
      </c>
      <c r="L76" s="25">
        <f>(L22-75807)/75807</f>
        <v>-0.5708443811257535</v>
      </c>
    </row>
    <row r="77" spans="1:12" ht="11.25">
      <c r="A77" s="1" t="s">
        <v>66</v>
      </c>
      <c r="C77" s="22">
        <f>C25/G25-1</f>
        <v>-0.007111536902612459</v>
      </c>
      <c r="D77" s="22">
        <f>D25/H25-1</f>
        <v>-0.0004183941272678515</v>
      </c>
      <c r="E77" s="22">
        <f>E25/I25-1</f>
        <v>0.006165372458734941</v>
      </c>
      <c r="F77" s="22">
        <f>(F25-J25)/J25</f>
        <v>0.12198483804272915</v>
      </c>
      <c r="G77" s="23">
        <f>(G25-K25)/K25</f>
        <v>0.1389541715628672</v>
      </c>
      <c r="H77" s="24">
        <f>(H25-23133)/23133</f>
        <v>0.13651493537370857</v>
      </c>
      <c r="I77" s="24">
        <f>(I25-22386)/22386</f>
        <v>0.14477798624140087</v>
      </c>
      <c r="J77" s="25">
        <f>(J25-21876)/21876</f>
        <v>0.12758273907478515</v>
      </c>
      <c r="K77" s="23">
        <f>(K25-L25)/L25</f>
        <v>0.1050922919951767</v>
      </c>
      <c r="L77" s="25">
        <f>(L25-16907)/16907</f>
        <v>0.275329745076004</v>
      </c>
    </row>
    <row r="78" spans="1:12" ht="11.25">
      <c r="A78" s="4" t="s">
        <v>67</v>
      </c>
      <c r="B78" s="4"/>
      <c r="C78" s="26">
        <f>(C40-G40)/G40</f>
        <v>-0.7245774452756997</v>
      </c>
      <c r="D78" s="26">
        <f>(D40-H40)/H40</f>
        <v>-0.8293478260869566</v>
      </c>
      <c r="E78" s="26">
        <f>(E40-I40)/I40</f>
        <v>-1.0862068965517242</v>
      </c>
      <c r="F78" s="26">
        <f>(F40-J40)/J40</f>
        <v>-0.3599523241954708</v>
      </c>
      <c r="G78" s="27">
        <f>(G40-K40)/K40</f>
        <v>0.4833538840937115</v>
      </c>
      <c r="H78" s="26">
        <f>H40/1643-1</f>
        <v>0.6798539257455873</v>
      </c>
      <c r="I78" s="26">
        <f>I40/896-1</f>
        <v>1.0066964285714284</v>
      </c>
      <c r="J78" s="28">
        <f>J40/314-1</f>
        <v>1.6719745222929938</v>
      </c>
      <c r="K78" s="27">
        <f>(K40-L40)/L40</f>
        <v>-0.21389337641357029</v>
      </c>
      <c r="L78" s="28">
        <f>(L40-3095)/3095</f>
        <v>0</v>
      </c>
    </row>
  </sheetData>
  <sheetProtection password="CD66" sheet="1" objects="1" scenarios="1"/>
  <mergeCells count="3">
    <mergeCell ref="G8:J8"/>
    <mergeCell ref="K8:L8"/>
    <mergeCell ref="C8:F8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5467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2002-03-22T20:32:55Z</cp:lastPrinted>
  <dcterms:created xsi:type="dcterms:W3CDTF">2002-03-19T15:06:41Z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