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oficial" sheetId="1" r:id="rId1"/>
  </sheets>
  <definedNames/>
  <calcPr fullCalcOnLoad="1"/>
</workbook>
</file>

<file path=xl/sharedStrings.xml><?xml version="1.0" encoding="utf-8"?>
<sst xmlns="http://schemas.openxmlformats.org/spreadsheetml/2006/main" count="89" uniqueCount="77">
  <si>
    <t>CUADRO No. 14          BANCA OFICIAL</t>
  </si>
  <si>
    <t>ESTADISTICA FINANCIERA. AÑO 1999, TRIMESTRES DE 2000 Y 2001</t>
  </si>
  <si>
    <t>(En millones de balboas)</t>
  </si>
  <si>
    <t>Diciembre 2001</t>
  </si>
  <si>
    <t>Sept 2001</t>
  </si>
  <si>
    <t>Junio 2001</t>
  </si>
  <si>
    <t>Marzo 2001</t>
  </si>
  <si>
    <t>Dic.2000</t>
  </si>
  <si>
    <t>Sept 2000</t>
  </si>
  <si>
    <t>Sept 1999</t>
  </si>
  <si>
    <t>Junio 2000</t>
  </si>
  <si>
    <t>Junio 1999</t>
  </si>
  <si>
    <t>Marzo 2000</t>
  </si>
  <si>
    <t>Marzo 1999</t>
  </si>
  <si>
    <t>Dic.1999</t>
  </si>
  <si>
    <t>Dic.1998</t>
  </si>
  <si>
    <t>Dic. 1997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</si>
  <si>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</si>
  <si>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</si>
  <si>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</si>
  <si>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</si>
  <si>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</si>
  <si>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</si>
  <si>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</si>
  <si>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</si>
  <si>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</si>
  <si>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</si>
  <si>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</si>
  <si>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</si>
  <si>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</si>
  <si>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</si>
  <si>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</si>
  <si>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</si>
  <si>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</si>
  <si>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</si>
  <si>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</si>
  <si>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</si>
  <si>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</si>
  <si>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</si>
  <si>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</si>
  <si>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</si>
  <si>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</si>
  <si>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de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</si>
  <si>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</si>
  <si>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</si>
  <si>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</si>
  <si>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</si>
  <si>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</si>
  <si>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</si>
  <si>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</si>
  <si>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</si>
  <si>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</si>
  <si>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</si>
  <si>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</si>
  <si>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</si>
  <si>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</si>
  <si>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</si>
  <si>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Gen. de Ingresos (Promedio)</t>
  </si>
  <si>
    <t>Egresos Operaciones / Activos Gen. de Ingresos (Promedio)</t>
  </si>
  <si>
    <t>Ingresos Netos por Int. / Activos Gen. de Ingresos (Promedio)</t>
  </si>
  <si>
    <t>Egresos Generales / Ingresos de Operaciones</t>
  </si>
  <si>
    <t>Otros Ingresos / Activos Gen. de Ingresos (Promedio)</t>
  </si>
  <si>
    <t>Productividad</t>
  </si>
  <si>
    <t>Número de Empleados</t>
  </si>
  <si>
    <t>Número de Bancos</t>
  </si>
  <si>
    <t>Préstamos / Empleados (Millones de balboas)</t>
  </si>
  <si>
    <t>Depósitos Totales / Empleados (En millones de balboas)</t>
  </si>
  <si>
    <t>Utilidad Neta / Empleados (En millones de balboas)</t>
  </si>
  <si>
    <t>Tasas de Crecimiento (12 meses)</t>
  </si>
  <si>
    <t>Activos</t>
  </si>
  <si>
    <t>Préstamos</t>
  </si>
  <si>
    <t>Depósitos</t>
  </si>
  <si>
    <t>Patrimonio</t>
  </si>
  <si>
    <t>Utilidad Neta</t>
  </si>
  <si>
    <t>Nota:</t>
  </si>
  <si>
    <t xml:space="preserve">(a) </t>
  </si>
  <si>
    <t>A partir del segundo trimestre de 2000 se modificó el registro de la calidad de la cartera de un banco oficial.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</si>
</sst>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0.0%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000000000"/>
    <numFmt numFmtId="197" formatCode="0.00000000000"/>
    <numFmt numFmtId="198" formatCode="0.000000000"/>
    <numFmt numFmtId="199" formatCode="0.0"/>
    <numFmt numFmtId="200" formatCode="_ * #,##0.0_ ;_ * \-#,##0.0_ ;_ * &quot;-&quot;??_ ;_ @_ "/>
    <numFmt numFmtId="201" formatCode="_ * #,##0_ ;_ * \-#,##0_ ;_ * &quot;-&quot;??_ ;_ @_ "/>
    <numFmt numFmtId="202" formatCode="0.000%"/>
    <numFmt numFmtId="203" formatCode="0.0000%"/>
    <numFmt numFmtId="204" formatCode="0.00000%"/>
    <numFmt numFmtId="205" formatCode="0.000000%"/>
    <numFmt numFmtId="206" formatCode="_(* #,##0.0000_);_(* \(#,##0.0000\);_(* &quot;-&quot;??_);_(@_)"/>
    <numFmt numFmtId="207" formatCode="0.00_);\(0.00\)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187" fontId="1" fillId="0" borderId="0" xfId="15" applyNumberFormat="1" applyFont="1" applyAlignment="1">
      <alignment/>
    </xf>
    <xf numFmtId="187" fontId="4" fillId="0" borderId="0" xfId="15" applyNumberFormat="1" applyFont="1" applyAlignment="1">
      <alignment/>
    </xf>
    <xf numFmtId="0" fontId="4" fillId="0" borderId="0" xfId="0" applyFont="1" applyAlignment="1">
      <alignment/>
    </xf>
    <xf numFmtId="187" fontId="2" fillId="0" borderId="0" xfId="15" applyNumberFormat="1" applyFont="1" applyAlignment="1">
      <alignment/>
    </xf>
    <xf numFmtId="187" fontId="3" fillId="0" borderId="0" xfId="15" applyNumberFormat="1" applyFont="1" applyAlignment="1">
      <alignment/>
    </xf>
    <xf numFmtId="187" fontId="2" fillId="0" borderId="1" xfId="15" applyNumberFormat="1" applyFont="1" applyBorder="1" applyAlignment="1">
      <alignment/>
    </xf>
    <xf numFmtId="187" fontId="3" fillId="0" borderId="1" xfId="15" applyNumberFormat="1" applyFont="1" applyBorder="1" applyAlignment="1">
      <alignment/>
    </xf>
    <xf numFmtId="171" fontId="2" fillId="0" borderId="0" xfId="15" applyNumberFormat="1" applyFont="1" applyAlignment="1">
      <alignment/>
    </xf>
    <xf numFmtId="171" fontId="2" fillId="0" borderId="0" xfId="15" applyFont="1" applyAlignment="1">
      <alignment/>
    </xf>
    <xf numFmtId="0" fontId="3" fillId="0" borderId="0" xfId="0" applyFont="1" applyAlignment="1">
      <alignment/>
    </xf>
    <xf numFmtId="10" fontId="2" fillId="0" borderId="0" xfId="19" applyNumberFormat="1" applyFont="1" applyAlignment="1">
      <alignment/>
    </xf>
    <xf numFmtId="10" fontId="2" fillId="0" borderId="1" xfId="19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89" fontId="2" fillId="0" borderId="0" xfId="19" applyNumberFormat="1" applyFont="1" applyAlignment="1">
      <alignment/>
    </xf>
    <xf numFmtId="189" fontId="2" fillId="0" borderId="1" xfId="19" applyNumberFormat="1" applyFont="1" applyBorder="1" applyAlignment="1">
      <alignment/>
    </xf>
    <xf numFmtId="0" fontId="2" fillId="0" borderId="1" xfId="19" applyNumberFormat="1" applyFont="1" applyBorder="1" applyAlignment="1">
      <alignment/>
    </xf>
    <xf numFmtId="171" fontId="2" fillId="0" borderId="1" xfId="15" applyNumberFormat="1" applyFont="1" applyBorder="1" applyAlignment="1">
      <alignment/>
    </xf>
    <xf numFmtId="171" fontId="2" fillId="0" borderId="1" xfId="15" applyFont="1" applyBorder="1" applyAlignment="1">
      <alignment/>
    </xf>
    <xf numFmtId="10" fontId="2" fillId="0" borderId="0" xfId="19" applyNumberFormat="1" applyFont="1" applyFill="1" applyAlignment="1">
      <alignment/>
    </xf>
    <xf numFmtId="171" fontId="2" fillId="0" borderId="0" xfId="15" applyNumberFormat="1" applyFont="1" applyFill="1" applyAlignment="1">
      <alignment/>
    </xf>
    <xf numFmtId="10" fontId="2" fillId="0" borderId="1" xfId="19" applyNumberFormat="1" applyFont="1" applyFill="1" applyBorder="1" applyAlignment="1">
      <alignment/>
    </xf>
    <xf numFmtId="185" fontId="2" fillId="0" borderId="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80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"/>
    </sheetView>
  </sheetViews>
  <sheetFormatPr defaultColWidth="11.421875" defaultRowHeight="12.75"/>
  <cols>
    <col min="1" max="1" width="2.8515625" style="1" customWidth="1"/>
    <col min="2" max="2" width="41.00390625" style="1" customWidth="1"/>
    <col min="3" max="3" width="11.57421875" style="1" bestFit="1" customWidth="1"/>
    <col min="4" max="4" width="8.00390625" style="1" bestFit="1" customWidth="1"/>
    <col min="5" max="5" width="8.421875" style="1" bestFit="1" customWidth="1"/>
    <col min="6" max="6" width="9.140625" style="1" bestFit="1" customWidth="1"/>
    <col min="7" max="7" width="7.140625" style="1" bestFit="1" customWidth="1"/>
    <col min="8" max="8" width="8.00390625" style="1" bestFit="1" customWidth="1"/>
    <col min="9" max="9" width="0.13671875" style="1" hidden="1" customWidth="1"/>
    <col min="10" max="10" width="8.421875" style="1" bestFit="1" customWidth="1"/>
    <col min="11" max="11" width="7.8515625" style="1" hidden="1" customWidth="1"/>
    <col min="12" max="12" width="9.140625" style="1" bestFit="1" customWidth="1"/>
    <col min="13" max="13" width="7.8515625" style="1" hidden="1" customWidth="1"/>
    <col min="14" max="14" width="7.140625" style="1" bestFit="1" customWidth="1"/>
    <col min="15" max="15" width="8.00390625" style="1" hidden="1" customWidth="1"/>
    <col min="16" max="16" width="6.421875" style="1" hidden="1" customWidth="1"/>
    <col min="17" max="16384" width="8.421875" style="1" customWidth="1"/>
  </cols>
  <sheetData>
    <row r="1" ht="11.25"/>
    <row r="2" spans="2:15" ht="11.25">
      <c r="B2" s="27"/>
      <c r="C2" s="27"/>
      <c r="D2" s="27"/>
      <c r="E2" s="27"/>
      <c r="F2" s="27" t="s">
        <v>0</v>
      </c>
      <c r="H2" s="27"/>
      <c r="I2" s="27"/>
      <c r="J2" s="27"/>
      <c r="K2" s="27"/>
      <c r="L2" s="27"/>
      <c r="M2" s="27"/>
      <c r="N2" s="27"/>
      <c r="O2" s="27"/>
    </row>
    <row r="3" spans="2:15" ht="11.25">
      <c r="B3" s="27"/>
      <c r="C3" s="27"/>
      <c r="D3" s="27"/>
      <c r="E3" s="27"/>
      <c r="F3" s="27" t="s">
        <v>1</v>
      </c>
      <c r="H3" s="27"/>
      <c r="I3" s="27"/>
      <c r="J3" s="27"/>
      <c r="K3" s="27"/>
      <c r="L3" s="27"/>
      <c r="M3" s="27"/>
      <c r="N3" s="27"/>
      <c r="O3" s="27"/>
    </row>
    <row r="4" spans="2:15" ht="11.25">
      <c r="B4" s="26"/>
      <c r="C4" s="26"/>
      <c r="D4" s="26"/>
      <c r="E4" s="26"/>
      <c r="F4" s="26" t="s">
        <v>2</v>
      </c>
      <c r="H4" s="26"/>
      <c r="I4" s="26"/>
      <c r="J4" s="26"/>
      <c r="K4" s="26"/>
      <c r="L4" s="26"/>
      <c r="M4" s="26"/>
      <c r="N4" s="26"/>
      <c r="O4" s="26"/>
    </row>
    <row r="5" spans="1:15" ht="11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11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s="3" customFormat="1" ht="11.25">
      <c r="A8" s="28"/>
      <c r="B8" s="28"/>
      <c r="C8" s="28" t="s">
        <v>3</v>
      </c>
      <c r="D8" s="28" t="s">
        <v>4</v>
      </c>
      <c r="E8" s="28" t="s">
        <v>5</v>
      </c>
      <c r="F8" s="28" t="s">
        <v>6</v>
      </c>
      <c r="G8" s="28" t="s">
        <v>7</v>
      </c>
      <c r="H8" s="28" t="s">
        <v>8</v>
      </c>
      <c r="I8" s="29" t="s">
        <v>9</v>
      </c>
      <c r="J8" s="28" t="s">
        <v>10</v>
      </c>
      <c r="K8" s="29" t="s">
        <v>11</v>
      </c>
      <c r="L8" s="28" t="s">
        <v>12</v>
      </c>
      <c r="M8" s="29" t="s">
        <v>13</v>
      </c>
      <c r="N8" s="28" t="s">
        <v>14</v>
      </c>
      <c r="O8" s="28" t="s">
        <v>15</v>
      </c>
      <c r="P8" s="30" t="s">
        <v>16</v>
      </c>
    </row>
    <row r="9" spans="1:16" ht="11.25">
      <c r="A9" s="3" t="s">
        <v>17</v>
      </c>
      <c r="B9" s="3"/>
      <c r="C9" s="3"/>
      <c r="D9" s="3"/>
      <c r="E9" s="3"/>
      <c r="F9" s="3"/>
      <c r="G9" s="4"/>
      <c r="H9" s="4"/>
      <c r="I9" s="5"/>
      <c r="J9" s="4"/>
      <c r="K9" s="5"/>
      <c r="L9" s="4"/>
      <c r="M9" s="5"/>
      <c r="N9" s="4"/>
      <c r="O9" s="4"/>
      <c r="P9" s="6"/>
    </row>
    <row r="10" spans="1:16" ht="11.25">
      <c r="A10" s="1" t="s">
        <v>18</v>
      </c>
      <c r="C10" s="7">
        <v>4491</v>
      </c>
      <c r="D10" s="7">
        <v>4336</v>
      </c>
      <c r="E10" s="7">
        <v>4632</v>
      </c>
      <c r="F10" s="7">
        <v>4552</v>
      </c>
      <c r="G10" s="7">
        <v>4165</v>
      </c>
      <c r="H10" s="7">
        <v>4141</v>
      </c>
      <c r="I10" s="8">
        <v>4145</v>
      </c>
      <c r="J10" s="7">
        <v>4113</v>
      </c>
      <c r="K10" s="8">
        <v>4327</v>
      </c>
      <c r="L10" s="7">
        <v>4166</v>
      </c>
      <c r="M10" s="8">
        <v>4198</v>
      </c>
      <c r="N10" s="7">
        <v>4229</v>
      </c>
      <c r="O10" s="7">
        <v>4149</v>
      </c>
      <c r="P10" s="8">
        <v>4028</v>
      </c>
    </row>
    <row r="11" spans="1:16" ht="11.25">
      <c r="A11" s="1" t="s">
        <v>19</v>
      </c>
      <c r="C11" s="7">
        <v>1887</v>
      </c>
      <c r="D11" s="7">
        <v>1860</v>
      </c>
      <c r="E11" s="7">
        <v>2243</v>
      </c>
      <c r="F11" s="7">
        <v>2183</v>
      </c>
      <c r="G11" s="7">
        <v>1844</v>
      </c>
      <c r="H11" s="7">
        <v>1856</v>
      </c>
      <c r="I11" s="8">
        <v>1949</v>
      </c>
      <c r="J11" s="7">
        <v>1748</v>
      </c>
      <c r="K11" s="8">
        <v>2198</v>
      </c>
      <c r="L11" s="7">
        <v>1920</v>
      </c>
      <c r="M11" s="8">
        <v>2055</v>
      </c>
      <c r="N11" s="7">
        <v>1999</v>
      </c>
      <c r="O11" s="7">
        <v>2086</v>
      </c>
      <c r="P11" s="8">
        <v>2102</v>
      </c>
    </row>
    <row r="12" spans="1:16" ht="11.25">
      <c r="A12" s="1" t="s">
        <v>20</v>
      </c>
      <c r="C12" s="7">
        <v>1951</v>
      </c>
      <c r="D12" s="7">
        <f aca="true" t="shared" si="0" ref="D12:P12">D13+D14</f>
        <v>1945</v>
      </c>
      <c r="E12" s="7">
        <f t="shared" si="0"/>
        <v>1928</v>
      </c>
      <c r="F12" s="7">
        <f t="shared" si="0"/>
        <v>1915</v>
      </c>
      <c r="G12" s="7">
        <f t="shared" si="0"/>
        <v>1866</v>
      </c>
      <c r="H12" s="7">
        <f t="shared" si="0"/>
        <v>1891</v>
      </c>
      <c r="I12" s="7">
        <f t="shared" si="0"/>
        <v>1811</v>
      </c>
      <c r="J12" s="7">
        <f t="shared" si="0"/>
        <v>1863</v>
      </c>
      <c r="K12" s="7">
        <f t="shared" si="0"/>
        <v>1755</v>
      </c>
      <c r="L12" s="7">
        <f t="shared" si="0"/>
        <v>1884</v>
      </c>
      <c r="M12" s="7">
        <f t="shared" si="0"/>
        <v>1762</v>
      </c>
      <c r="N12" s="7">
        <f t="shared" si="0"/>
        <v>1824</v>
      </c>
      <c r="O12" s="7">
        <f t="shared" si="0"/>
        <v>1722</v>
      </c>
      <c r="P12" s="7">
        <f t="shared" si="0"/>
        <v>1686</v>
      </c>
    </row>
    <row r="13" spans="2:16" ht="11.25">
      <c r="B13" s="1" t="s">
        <v>21</v>
      </c>
      <c r="C13" s="7">
        <v>1951</v>
      </c>
      <c r="D13" s="7">
        <v>1945</v>
      </c>
      <c r="E13" s="7">
        <v>1928</v>
      </c>
      <c r="F13" s="7">
        <v>1915</v>
      </c>
      <c r="G13" s="7">
        <v>1866</v>
      </c>
      <c r="H13" s="7">
        <v>1891</v>
      </c>
      <c r="I13" s="8">
        <v>1806</v>
      </c>
      <c r="J13" s="7">
        <v>1863</v>
      </c>
      <c r="K13" s="8">
        <v>1750</v>
      </c>
      <c r="L13" s="7">
        <v>1884</v>
      </c>
      <c r="M13" s="8">
        <v>1757</v>
      </c>
      <c r="N13" s="7">
        <v>1819</v>
      </c>
      <c r="O13" s="7">
        <v>1722</v>
      </c>
      <c r="P13" s="8">
        <v>1686</v>
      </c>
    </row>
    <row r="14" spans="2:16" ht="11.25">
      <c r="B14" s="1" t="s">
        <v>22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8">
        <v>5</v>
      </c>
      <c r="J14" s="7">
        <v>0</v>
      </c>
      <c r="K14" s="8">
        <v>5</v>
      </c>
      <c r="L14" s="7">
        <v>0</v>
      </c>
      <c r="M14" s="8">
        <v>5</v>
      </c>
      <c r="N14" s="7">
        <v>5</v>
      </c>
      <c r="O14" s="7">
        <v>0</v>
      </c>
      <c r="P14" s="8">
        <v>0</v>
      </c>
    </row>
    <row r="15" spans="1:16" ht="11.25">
      <c r="A15" s="1" t="s">
        <v>23</v>
      </c>
      <c r="C15" s="7">
        <v>465</v>
      </c>
      <c r="D15" s="7">
        <v>389</v>
      </c>
      <c r="E15" s="7">
        <v>304</v>
      </c>
      <c r="F15" s="7">
        <v>289</v>
      </c>
      <c r="G15" s="7">
        <v>251</v>
      </c>
      <c r="H15" s="7">
        <v>245</v>
      </c>
      <c r="I15" s="8">
        <v>247</v>
      </c>
      <c r="J15" s="7">
        <v>356</v>
      </c>
      <c r="K15" s="8">
        <v>248</v>
      </c>
      <c r="L15" s="7">
        <v>221</v>
      </c>
      <c r="M15" s="8">
        <v>235</v>
      </c>
      <c r="N15" s="7">
        <v>264</v>
      </c>
      <c r="O15" s="7">
        <v>207</v>
      </c>
      <c r="P15" s="8">
        <v>99</v>
      </c>
    </row>
    <row r="16" spans="1:16" ht="11.25">
      <c r="A16" s="1" t="s">
        <v>24</v>
      </c>
      <c r="C16" s="7">
        <v>3422</v>
      </c>
      <c r="D16" s="7">
        <f aca="true" t="shared" si="1" ref="D16:P16">D17+D21</f>
        <v>3277</v>
      </c>
      <c r="E16" s="7">
        <f t="shared" si="1"/>
        <v>3591</v>
      </c>
      <c r="F16" s="7">
        <f t="shared" si="1"/>
        <v>3523</v>
      </c>
      <c r="G16" s="7">
        <f t="shared" si="1"/>
        <v>3107</v>
      </c>
      <c r="H16" s="7">
        <f t="shared" si="1"/>
        <v>3082</v>
      </c>
      <c r="I16" s="7">
        <f t="shared" si="1"/>
        <v>3077</v>
      </c>
      <c r="J16" s="7">
        <f t="shared" si="1"/>
        <v>3076</v>
      </c>
      <c r="K16" s="7">
        <f t="shared" si="1"/>
        <v>3265</v>
      </c>
      <c r="L16" s="7">
        <f t="shared" si="1"/>
        <v>3116</v>
      </c>
      <c r="M16" s="7">
        <f t="shared" si="1"/>
        <v>3117</v>
      </c>
      <c r="N16" s="7">
        <f t="shared" si="1"/>
        <v>3177</v>
      </c>
      <c r="O16" s="7">
        <f t="shared" si="1"/>
        <v>3090</v>
      </c>
      <c r="P16" s="7">
        <f t="shared" si="1"/>
        <v>3093</v>
      </c>
    </row>
    <row r="17" spans="2:16" ht="11.25">
      <c r="B17" s="1" t="s">
        <v>21</v>
      </c>
      <c r="C17" s="7">
        <v>3376</v>
      </c>
      <c r="D17" s="7">
        <f aca="true" t="shared" si="2" ref="D17:P17">SUM(D18:D20)</f>
        <v>3236</v>
      </c>
      <c r="E17" s="7">
        <f t="shared" si="2"/>
        <v>3552</v>
      </c>
      <c r="F17" s="7">
        <f t="shared" si="2"/>
        <v>3477</v>
      </c>
      <c r="G17" s="7">
        <f t="shared" si="2"/>
        <v>3065</v>
      </c>
      <c r="H17" s="7">
        <f t="shared" si="2"/>
        <v>3040</v>
      </c>
      <c r="I17" s="7">
        <f t="shared" si="2"/>
        <v>3029</v>
      </c>
      <c r="J17" s="7">
        <f t="shared" si="2"/>
        <v>3036</v>
      </c>
      <c r="K17" s="7">
        <f t="shared" si="2"/>
        <v>3217</v>
      </c>
      <c r="L17" s="7">
        <f t="shared" si="2"/>
        <v>3071</v>
      </c>
      <c r="M17" s="7">
        <f t="shared" si="2"/>
        <v>3068</v>
      </c>
      <c r="N17" s="7">
        <f t="shared" si="2"/>
        <v>3128</v>
      </c>
      <c r="O17" s="7">
        <f t="shared" si="2"/>
        <v>3042</v>
      </c>
      <c r="P17" s="7">
        <f t="shared" si="2"/>
        <v>3046</v>
      </c>
    </row>
    <row r="18" spans="2:16" ht="11.25">
      <c r="B18" s="1" t="s">
        <v>25</v>
      </c>
      <c r="C18" s="7">
        <v>2037</v>
      </c>
      <c r="D18" s="7">
        <v>1929</v>
      </c>
      <c r="E18" s="7">
        <v>2277</v>
      </c>
      <c r="F18" s="7">
        <v>2310</v>
      </c>
      <c r="G18" s="7">
        <v>1914</v>
      </c>
      <c r="H18" s="7">
        <v>1945</v>
      </c>
      <c r="I18" s="8">
        <v>2037</v>
      </c>
      <c r="J18" s="7">
        <v>1982</v>
      </c>
      <c r="K18" s="8">
        <v>2220</v>
      </c>
      <c r="L18" s="7">
        <v>1989</v>
      </c>
      <c r="M18" s="8">
        <v>2022</v>
      </c>
      <c r="N18" s="7">
        <v>2108</v>
      </c>
      <c r="O18" s="7">
        <v>2054</v>
      </c>
      <c r="P18" s="8">
        <v>2041</v>
      </c>
    </row>
    <row r="19" spans="2:16" ht="11.25">
      <c r="B19" s="1" t="s">
        <v>26</v>
      </c>
      <c r="C19" s="7">
        <v>1046</v>
      </c>
      <c r="D19" s="7">
        <v>1027</v>
      </c>
      <c r="E19" s="7">
        <v>988</v>
      </c>
      <c r="F19" s="7">
        <v>919</v>
      </c>
      <c r="G19" s="7">
        <v>851</v>
      </c>
      <c r="H19" s="7">
        <v>851</v>
      </c>
      <c r="I19" s="8">
        <v>736</v>
      </c>
      <c r="J19" s="7">
        <v>799</v>
      </c>
      <c r="K19" s="8">
        <v>726</v>
      </c>
      <c r="L19" s="7">
        <v>801</v>
      </c>
      <c r="M19" s="8">
        <v>768</v>
      </c>
      <c r="N19" s="7">
        <v>719</v>
      </c>
      <c r="O19" s="7">
        <v>710</v>
      </c>
      <c r="P19" s="8">
        <v>723</v>
      </c>
    </row>
    <row r="20" spans="2:16" ht="11.25">
      <c r="B20" s="1" t="s">
        <v>27</v>
      </c>
      <c r="C20" s="7">
        <v>293</v>
      </c>
      <c r="D20" s="7">
        <v>280</v>
      </c>
      <c r="E20" s="7">
        <v>287</v>
      </c>
      <c r="F20" s="7">
        <v>248</v>
      </c>
      <c r="G20" s="7">
        <v>300</v>
      </c>
      <c r="H20" s="7">
        <v>244</v>
      </c>
      <c r="I20" s="8">
        <v>256</v>
      </c>
      <c r="J20" s="7">
        <v>255</v>
      </c>
      <c r="K20" s="8">
        <v>271</v>
      </c>
      <c r="L20" s="7">
        <v>281</v>
      </c>
      <c r="M20" s="8">
        <v>278</v>
      </c>
      <c r="N20" s="7">
        <v>301</v>
      </c>
      <c r="O20" s="7">
        <v>278</v>
      </c>
      <c r="P20" s="8">
        <v>282</v>
      </c>
    </row>
    <row r="21" spans="2:16" ht="11.25">
      <c r="B21" s="1" t="s">
        <v>22</v>
      </c>
      <c r="C21" s="7">
        <v>46</v>
      </c>
      <c r="D21" s="7">
        <f aca="true" t="shared" si="3" ref="D21:P21">SUM(D22:D23)</f>
        <v>41</v>
      </c>
      <c r="E21" s="7">
        <f t="shared" si="3"/>
        <v>39</v>
      </c>
      <c r="F21" s="7">
        <f t="shared" si="3"/>
        <v>46</v>
      </c>
      <c r="G21" s="7">
        <f t="shared" si="3"/>
        <v>42</v>
      </c>
      <c r="H21" s="7">
        <f t="shared" si="3"/>
        <v>42</v>
      </c>
      <c r="I21" s="7">
        <f t="shared" si="3"/>
        <v>48</v>
      </c>
      <c r="J21" s="7">
        <f t="shared" si="3"/>
        <v>40</v>
      </c>
      <c r="K21" s="7">
        <f t="shared" si="3"/>
        <v>48</v>
      </c>
      <c r="L21" s="7">
        <f t="shared" si="3"/>
        <v>45</v>
      </c>
      <c r="M21" s="7">
        <f t="shared" si="3"/>
        <v>49</v>
      </c>
      <c r="N21" s="7">
        <f t="shared" si="3"/>
        <v>49</v>
      </c>
      <c r="O21" s="7">
        <f t="shared" si="3"/>
        <v>48</v>
      </c>
      <c r="P21" s="7">
        <f t="shared" si="3"/>
        <v>47</v>
      </c>
    </row>
    <row r="22" spans="2:16" ht="11.25">
      <c r="B22" s="1" t="s">
        <v>26</v>
      </c>
      <c r="C22" s="7">
        <v>24</v>
      </c>
      <c r="D22" s="7">
        <v>19</v>
      </c>
      <c r="E22" s="7">
        <v>18</v>
      </c>
      <c r="F22" s="7">
        <v>18</v>
      </c>
      <c r="G22" s="7">
        <v>16</v>
      </c>
      <c r="H22" s="7">
        <v>16</v>
      </c>
      <c r="I22" s="8">
        <v>16</v>
      </c>
      <c r="J22" s="7">
        <v>16</v>
      </c>
      <c r="K22" s="8">
        <v>16</v>
      </c>
      <c r="L22" s="7">
        <v>16</v>
      </c>
      <c r="M22" s="8">
        <v>17</v>
      </c>
      <c r="N22" s="7">
        <v>16</v>
      </c>
      <c r="O22" s="7">
        <v>17</v>
      </c>
      <c r="P22" s="8">
        <v>15</v>
      </c>
    </row>
    <row r="23" spans="2:16" ht="11.25">
      <c r="B23" s="1" t="s">
        <v>27</v>
      </c>
      <c r="C23" s="7">
        <v>22</v>
      </c>
      <c r="D23" s="7">
        <v>22</v>
      </c>
      <c r="E23" s="7">
        <v>21</v>
      </c>
      <c r="F23" s="7">
        <v>28</v>
      </c>
      <c r="G23" s="7">
        <v>26</v>
      </c>
      <c r="H23" s="7">
        <v>26</v>
      </c>
      <c r="I23" s="8">
        <v>32</v>
      </c>
      <c r="J23" s="7">
        <v>24</v>
      </c>
      <c r="K23" s="8">
        <v>32</v>
      </c>
      <c r="L23" s="7">
        <v>29</v>
      </c>
      <c r="M23" s="8">
        <v>32</v>
      </c>
      <c r="N23" s="7">
        <v>33</v>
      </c>
      <c r="O23" s="7">
        <v>31</v>
      </c>
      <c r="P23" s="8">
        <v>32</v>
      </c>
    </row>
    <row r="24" spans="1:16" ht="11.25">
      <c r="A24" s="2" t="s">
        <v>28</v>
      </c>
      <c r="B24" s="2"/>
      <c r="C24" s="9">
        <v>610</v>
      </c>
      <c r="D24" s="9">
        <v>614</v>
      </c>
      <c r="E24" s="9">
        <v>606</v>
      </c>
      <c r="F24" s="9">
        <v>603</v>
      </c>
      <c r="G24" s="9">
        <v>603</v>
      </c>
      <c r="H24" s="9">
        <v>610</v>
      </c>
      <c r="I24" s="10">
        <v>607</v>
      </c>
      <c r="J24" s="9">
        <v>598</v>
      </c>
      <c r="K24" s="10">
        <v>598</v>
      </c>
      <c r="L24" s="9">
        <v>607</v>
      </c>
      <c r="M24" s="10">
        <v>629</v>
      </c>
      <c r="N24" s="9">
        <v>596</v>
      </c>
      <c r="O24" s="9">
        <v>602</v>
      </c>
      <c r="P24" s="8">
        <v>527</v>
      </c>
    </row>
    <row r="25" spans="1:15" ht="11.25">
      <c r="A25" s="3" t="s">
        <v>29</v>
      </c>
      <c r="C25" s="7"/>
      <c r="D25" s="7"/>
      <c r="E25" s="7"/>
      <c r="F25" s="7"/>
      <c r="G25" s="11"/>
      <c r="H25" s="11"/>
      <c r="I25" s="11"/>
      <c r="J25" s="11"/>
      <c r="K25" s="11"/>
      <c r="L25" s="7"/>
      <c r="M25" s="7"/>
      <c r="N25" s="7"/>
      <c r="O25" s="7"/>
    </row>
    <row r="26" spans="1:16" ht="11.25">
      <c r="A26" s="1" t="s">
        <v>18</v>
      </c>
      <c r="C26" s="7">
        <v>4328</v>
      </c>
      <c r="D26" s="7">
        <f>(D10+H10)/2</f>
        <v>4238.5</v>
      </c>
      <c r="E26" s="7">
        <f>(E10+J10)/2</f>
        <v>4372.5</v>
      </c>
      <c r="F26" s="7">
        <f>(F10+L10)/2</f>
        <v>4359</v>
      </c>
      <c r="G26" s="7">
        <f>(G10+N10)/2</f>
        <v>4197</v>
      </c>
      <c r="H26" s="7">
        <f>(H10+I10)/2</f>
        <v>4143</v>
      </c>
      <c r="I26" s="7"/>
      <c r="J26" s="7">
        <f>(J10+K10)/2</f>
        <v>4220</v>
      </c>
      <c r="K26" s="7"/>
      <c r="L26" s="7">
        <f>(L10+M10)/2</f>
        <v>4182</v>
      </c>
      <c r="M26" s="7"/>
      <c r="N26" s="7">
        <f>(N10+O10)/2</f>
        <v>4189</v>
      </c>
      <c r="O26" s="7">
        <f>(O10+P10)/2</f>
        <v>4088.5</v>
      </c>
      <c r="P26" s="12"/>
    </row>
    <row r="27" spans="1:16" ht="11.25">
      <c r="A27" s="1" t="s">
        <v>30</v>
      </c>
      <c r="C27" s="7">
        <v>2266.5</v>
      </c>
      <c r="D27" s="7">
        <f>D28+D29</f>
        <v>2235</v>
      </c>
      <c r="E27" s="7">
        <f>E28+E29</f>
        <v>2225.5</v>
      </c>
      <c r="F27" s="7">
        <f>F28+F29</f>
        <v>2154.5</v>
      </c>
      <c r="G27" s="7">
        <f>G28+G29</f>
        <v>2102.5</v>
      </c>
      <c r="H27" s="7">
        <f>H28+H29</f>
        <v>2097</v>
      </c>
      <c r="I27" s="7"/>
      <c r="J27" s="7">
        <f>J28+J29</f>
        <v>2111</v>
      </c>
      <c r="K27" s="7"/>
      <c r="L27" s="7">
        <f>L28+L29</f>
        <v>2051</v>
      </c>
      <c r="M27" s="7"/>
      <c r="N27" s="7">
        <f>N28+N29</f>
        <v>2008.5</v>
      </c>
      <c r="O27" s="7">
        <f>O28+O29</f>
        <v>1857</v>
      </c>
      <c r="P27" s="12"/>
    </row>
    <row r="28" spans="2:16" ht="11.25">
      <c r="B28" s="1" t="s">
        <v>20</v>
      </c>
      <c r="C28" s="7">
        <v>1908.5</v>
      </c>
      <c r="D28" s="7">
        <f>(D12+H12)/2</f>
        <v>1918</v>
      </c>
      <c r="E28" s="7">
        <f>(E12+J12)/2</f>
        <v>1895.5</v>
      </c>
      <c r="F28" s="7">
        <f>(F12+L12)/2</f>
        <v>1899.5</v>
      </c>
      <c r="G28" s="7">
        <f>(G12+N12)/2</f>
        <v>1845</v>
      </c>
      <c r="H28" s="7">
        <f>(H12+I12)/2</f>
        <v>1851</v>
      </c>
      <c r="I28" s="7"/>
      <c r="J28" s="7">
        <f>(J12+K12)/2</f>
        <v>1809</v>
      </c>
      <c r="K28" s="7"/>
      <c r="L28" s="7">
        <f>(L12+M12)/2</f>
        <v>1823</v>
      </c>
      <c r="M28" s="7"/>
      <c r="N28" s="7">
        <f>(N12+O12)/2</f>
        <v>1773</v>
      </c>
      <c r="O28" s="7">
        <f>(O12+P12)/2</f>
        <v>1704</v>
      </c>
      <c r="P28" s="12"/>
    </row>
    <row r="29" spans="2:16" ht="11.25">
      <c r="B29" s="1" t="s">
        <v>23</v>
      </c>
      <c r="C29" s="7">
        <v>358</v>
      </c>
      <c r="D29" s="7">
        <f>(D15+H15)/2</f>
        <v>317</v>
      </c>
      <c r="E29" s="7">
        <f>(E15+J15)/2</f>
        <v>330</v>
      </c>
      <c r="F29" s="7">
        <f>(F15+L15)/2</f>
        <v>255</v>
      </c>
      <c r="G29" s="7">
        <f>(G15+N15)/2</f>
        <v>257.5</v>
      </c>
      <c r="H29" s="7">
        <f>(H15+I15)/2</f>
        <v>246</v>
      </c>
      <c r="I29" s="7"/>
      <c r="J29" s="7">
        <f>(J15+K15)/2</f>
        <v>302</v>
      </c>
      <c r="K29" s="7"/>
      <c r="L29" s="7">
        <f>(L15+M15)/2</f>
        <v>228</v>
      </c>
      <c r="M29" s="7"/>
      <c r="N29" s="7">
        <f>(N15+O15)/2</f>
        <v>235.5</v>
      </c>
      <c r="O29" s="7">
        <f>(O15+P15)/2</f>
        <v>153</v>
      </c>
      <c r="P29" s="12"/>
    </row>
    <row r="30" spans="1:16" ht="11.25">
      <c r="A30" s="2" t="s">
        <v>28</v>
      </c>
      <c r="B30" s="2"/>
      <c r="C30" s="9">
        <v>606.5</v>
      </c>
      <c r="D30" s="9">
        <f>(D24+H24)/2</f>
        <v>612</v>
      </c>
      <c r="E30" s="9">
        <f>(E24+J24)/2</f>
        <v>602</v>
      </c>
      <c r="F30" s="9">
        <f>(F24+L24)/2</f>
        <v>605</v>
      </c>
      <c r="G30" s="9">
        <f>(G24+H24)/2</f>
        <v>606.5</v>
      </c>
      <c r="H30" s="9">
        <f>(H24+I24)/2</f>
        <v>608.5</v>
      </c>
      <c r="I30" s="9"/>
      <c r="J30" s="9">
        <f>(J24+K24)/2</f>
        <v>598</v>
      </c>
      <c r="K30" s="9"/>
      <c r="L30" s="9">
        <f>(L24+M24)/2</f>
        <v>618</v>
      </c>
      <c r="M30" s="9"/>
      <c r="N30" s="9">
        <f>(N24+O24)/2</f>
        <v>599</v>
      </c>
      <c r="O30" s="9">
        <f>(O24+P24)/2</f>
        <v>564.5</v>
      </c>
      <c r="P30" s="12"/>
    </row>
    <row r="31" spans="1:79" ht="11.25">
      <c r="A31" s="3" t="s">
        <v>31</v>
      </c>
      <c r="C31" s="7"/>
      <c r="D31" s="7"/>
      <c r="E31" s="7"/>
      <c r="F31" s="7"/>
      <c r="G31" s="7"/>
      <c r="H31" s="7"/>
      <c r="I31" s="8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</row>
    <row r="32" spans="1:79" ht="11.25">
      <c r="A32" s="1" t="s">
        <v>32</v>
      </c>
      <c r="C32" s="7">
        <v>287</v>
      </c>
      <c r="D32" s="7">
        <v>225</v>
      </c>
      <c r="E32" s="7">
        <v>157</v>
      </c>
      <c r="F32" s="7">
        <v>80</v>
      </c>
      <c r="G32" s="7">
        <f>H32+85</f>
        <v>320</v>
      </c>
      <c r="H32" s="7">
        <f>J32+83</f>
        <v>235</v>
      </c>
      <c r="I32" s="8">
        <f>K32+72</f>
        <v>206</v>
      </c>
      <c r="J32" s="7">
        <f>L32+76</f>
        <v>152</v>
      </c>
      <c r="K32" s="8">
        <f>M32+67</f>
        <v>134</v>
      </c>
      <c r="L32" s="7">
        <v>76</v>
      </c>
      <c r="M32" s="8">
        <v>67</v>
      </c>
      <c r="N32" s="7">
        <f>I32+73</f>
        <v>279</v>
      </c>
      <c r="O32" s="7">
        <v>241</v>
      </c>
      <c r="P32" s="7">
        <v>208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</row>
    <row r="33" spans="1:79" ht="11.25">
      <c r="A33" s="1" t="s">
        <v>33</v>
      </c>
      <c r="C33" s="7">
        <v>136</v>
      </c>
      <c r="D33" s="7">
        <v>110</v>
      </c>
      <c r="E33" s="7">
        <v>78</v>
      </c>
      <c r="F33" s="7">
        <v>37</v>
      </c>
      <c r="G33" s="7">
        <f>H33+38</f>
        <v>146</v>
      </c>
      <c r="H33" s="7">
        <f>J33+38</f>
        <v>108</v>
      </c>
      <c r="I33" s="8">
        <f>K33+32</f>
        <v>92</v>
      </c>
      <c r="J33" s="7">
        <f>L33+35</f>
        <v>70</v>
      </c>
      <c r="K33" s="8">
        <f>M33+32</f>
        <v>60</v>
      </c>
      <c r="L33" s="7">
        <v>35</v>
      </c>
      <c r="M33" s="8">
        <v>28</v>
      </c>
      <c r="N33" s="7">
        <f>I33+33</f>
        <v>125</v>
      </c>
      <c r="O33" s="7">
        <v>115</v>
      </c>
      <c r="P33" s="7">
        <v>110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</row>
    <row r="34" spans="1:79" ht="11.25">
      <c r="A34" s="1" t="s">
        <v>34</v>
      </c>
      <c r="C34" s="7">
        <v>151</v>
      </c>
      <c r="D34" s="7">
        <f aca="true" t="shared" si="4" ref="D34:O34">D32-D33</f>
        <v>115</v>
      </c>
      <c r="E34" s="7">
        <f t="shared" si="4"/>
        <v>79</v>
      </c>
      <c r="F34" s="7">
        <f t="shared" si="4"/>
        <v>43</v>
      </c>
      <c r="G34" s="7">
        <f t="shared" si="4"/>
        <v>174</v>
      </c>
      <c r="H34" s="7">
        <f t="shared" si="4"/>
        <v>127</v>
      </c>
      <c r="I34" s="8">
        <f t="shared" si="4"/>
        <v>114</v>
      </c>
      <c r="J34" s="7">
        <f t="shared" si="4"/>
        <v>82</v>
      </c>
      <c r="K34" s="8">
        <f t="shared" si="4"/>
        <v>74</v>
      </c>
      <c r="L34" s="7">
        <f t="shared" si="4"/>
        <v>41</v>
      </c>
      <c r="M34" s="8">
        <f t="shared" si="4"/>
        <v>39</v>
      </c>
      <c r="N34" s="7">
        <f t="shared" si="4"/>
        <v>154</v>
      </c>
      <c r="O34" s="7">
        <f t="shared" si="4"/>
        <v>126</v>
      </c>
      <c r="P34" s="7">
        <v>97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</row>
    <row r="35" spans="1:79" ht="11.25">
      <c r="A35" s="1" t="s">
        <v>35</v>
      </c>
      <c r="C35" s="7">
        <v>25</v>
      </c>
      <c r="D35" s="7">
        <v>15</v>
      </c>
      <c r="E35" s="7">
        <v>13</v>
      </c>
      <c r="F35" s="7">
        <v>4</v>
      </c>
      <c r="G35" s="7">
        <f>H35+10</f>
        <v>22</v>
      </c>
      <c r="H35" s="7">
        <f>J35+5</f>
        <v>12</v>
      </c>
      <c r="I35" s="8">
        <f>K35+2</f>
        <v>12</v>
      </c>
      <c r="J35" s="7">
        <f>L35+3</f>
        <v>7</v>
      </c>
      <c r="K35" s="8">
        <f>M35+8</f>
        <v>10</v>
      </c>
      <c r="L35" s="7">
        <v>4</v>
      </c>
      <c r="M35" s="8">
        <v>2</v>
      </c>
      <c r="N35" s="7">
        <f>I35+4</f>
        <v>16</v>
      </c>
      <c r="O35" s="7">
        <v>21</v>
      </c>
      <c r="P35" s="7">
        <v>19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</row>
    <row r="36" spans="1:79" ht="11.25">
      <c r="A36" s="1" t="s">
        <v>36</v>
      </c>
      <c r="C36" s="7">
        <v>176</v>
      </c>
      <c r="D36" s="7">
        <f aca="true" t="shared" si="5" ref="D36:P36">D34+D35</f>
        <v>130</v>
      </c>
      <c r="E36" s="7">
        <f t="shared" si="5"/>
        <v>92</v>
      </c>
      <c r="F36" s="7">
        <f t="shared" si="5"/>
        <v>47</v>
      </c>
      <c r="G36" s="7">
        <f t="shared" si="5"/>
        <v>196</v>
      </c>
      <c r="H36" s="7">
        <f t="shared" si="5"/>
        <v>139</v>
      </c>
      <c r="I36" s="8">
        <f t="shared" si="5"/>
        <v>126</v>
      </c>
      <c r="J36" s="7">
        <f t="shared" si="5"/>
        <v>89</v>
      </c>
      <c r="K36" s="8">
        <f t="shared" si="5"/>
        <v>84</v>
      </c>
      <c r="L36" s="7">
        <f t="shared" si="5"/>
        <v>45</v>
      </c>
      <c r="M36" s="8">
        <f t="shared" si="5"/>
        <v>41</v>
      </c>
      <c r="N36" s="7">
        <f t="shared" si="5"/>
        <v>170</v>
      </c>
      <c r="O36" s="7">
        <f t="shared" si="5"/>
        <v>147</v>
      </c>
      <c r="P36" s="7">
        <f t="shared" si="5"/>
        <v>116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</row>
    <row r="37" spans="1:79" ht="11.25">
      <c r="A37" s="1" t="s">
        <v>37</v>
      </c>
      <c r="C37" s="7">
        <v>71</v>
      </c>
      <c r="D37" s="7">
        <v>52</v>
      </c>
      <c r="E37" s="7">
        <v>35</v>
      </c>
      <c r="F37" s="7">
        <v>17</v>
      </c>
      <c r="G37" s="7">
        <f>H37+19</f>
        <v>67</v>
      </c>
      <c r="H37" s="7">
        <f>J37+17</f>
        <v>48</v>
      </c>
      <c r="I37" s="8">
        <f>K37+15</f>
        <v>44</v>
      </c>
      <c r="J37" s="7">
        <f>L37+16</f>
        <v>31</v>
      </c>
      <c r="K37" s="8">
        <f>M37+14</f>
        <v>29</v>
      </c>
      <c r="L37" s="7">
        <v>15</v>
      </c>
      <c r="M37" s="8">
        <v>15</v>
      </c>
      <c r="N37" s="7">
        <f>I37+17</f>
        <v>61</v>
      </c>
      <c r="O37" s="7">
        <v>70</v>
      </c>
      <c r="P37" s="7">
        <v>56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</row>
    <row r="38" spans="1:79" ht="11.25">
      <c r="A38" s="1" t="s">
        <v>38</v>
      </c>
      <c r="C38" s="7">
        <v>105</v>
      </c>
      <c r="D38" s="7">
        <f aca="true" t="shared" si="6" ref="D38:P38">D36-D37</f>
        <v>78</v>
      </c>
      <c r="E38" s="7">
        <f t="shared" si="6"/>
        <v>57</v>
      </c>
      <c r="F38" s="7">
        <f t="shared" si="6"/>
        <v>30</v>
      </c>
      <c r="G38" s="7">
        <f t="shared" si="6"/>
        <v>129</v>
      </c>
      <c r="H38" s="7">
        <f t="shared" si="6"/>
        <v>91</v>
      </c>
      <c r="I38" s="8">
        <f t="shared" si="6"/>
        <v>82</v>
      </c>
      <c r="J38" s="7">
        <f t="shared" si="6"/>
        <v>58</v>
      </c>
      <c r="K38" s="8">
        <f t="shared" si="6"/>
        <v>55</v>
      </c>
      <c r="L38" s="7">
        <f t="shared" si="6"/>
        <v>30</v>
      </c>
      <c r="M38" s="8">
        <f t="shared" si="6"/>
        <v>26</v>
      </c>
      <c r="N38" s="7">
        <f t="shared" si="6"/>
        <v>109</v>
      </c>
      <c r="O38" s="7">
        <f t="shared" si="6"/>
        <v>77</v>
      </c>
      <c r="P38" s="7">
        <f t="shared" si="6"/>
        <v>60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</row>
    <row r="39" spans="1:79" ht="11.25">
      <c r="A39" s="2" t="s">
        <v>39</v>
      </c>
      <c r="B39" s="2"/>
      <c r="C39" s="9">
        <v>82</v>
      </c>
      <c r="D39" s="9">
        <f>78-15</f>
        <v>63</v>
      </c>
      <c r="E39" s="9">
        <v>45</v>
      </c>
      <c r="F39" s="9">
        <v>27</v>
      </c>
      <c r="G39" s="9">
        <f>H39+34</f>
        <v>124</v>
      </c>
      <c r="H39" s="9">
        <f>J39+33</f>
        <v>90</v>
      </c>
      <c r="I39" s="10">
        <f>K39+26</f>
        <v>82</v>
      </c>
      <c r="J39" s="9">
        <f>L39+28</f>
        <v>57</v>
      </c>
      <c r="K39" s="10">
        <f>M39+30</f>
        <v>56</v>
      </c>
      <c r="L39" s="9">
        <v>29</v>
      </c>
      <c r="M39" s="10">
        <v>26</v>
      </c>
      <c r="N39" s="9">
        <f>I39+26</f>
        <v>108</v>
      </c>
      <c r="O39" s="9">
        <v>76</v>
      </c>
      <c r="P39" s="7">
        <v>59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</row>
    <row r="40" spans="1:13" ht="11.25">
      <c r="A40" s="3" t="s">
        <v>40</v>
      </c>
      <c r="C40" s="7"/>
      <c r="D40" s="7"/>
      <c r="E40" s="7"/>
      <c r="M40" s="13"/>
    </row>
    <row r="41" spans="1:16" ht="11.25">
      <c r="A41" s="1" t="s">
        <v>41</v>
      </c>
      <c r="C41" s="7">
        <v>16</v>
      </c>
      <c r="D41" s="7">
        <v>20</v>
      </c>
      <c r="E41" s="7">
        <v>17</v>
      </c>
      <c r="F41" s="7">
        <v>13</v>
      </c>
      <c r="G41" s="7">
        <v>9</v>
      </c>
      <c r="H41" s="7">
        <v>9</v>
      </c>
      <c r="I41" s="8"/>
      <c r="J41" s="7">
        <v>26</v>
      </c>
      <c r="K41" s="8"/>
      <c r="L41" s="7">
        <v>28</v>
      </c>
      <c r="M41" s="8"/>
      <c r="N41" s="7">
        <v>27</v>
      </c>
      <c r="O41" s="7">
        <v>5</v>
      </c>
      <c r="P41" s="13"/>
    </row>
    <row r="42" spans="1:16" ht="11.25">
      <c r="A42" s="1" t="s">
        <v>42</v>
      </c>
      <c r="C42" s="7">
        <v>52</v>
      </c>
      <c r="D42" s="7">
        <v>47</v>
      </c>
      <c r="E42" s="7">
        <v>45</v>
      </c>
      <c r="F42" s="7">
        <v>39</v>
      </c>
      <c r="G42" s="7">
        <v>42</v>
      </c>
      <c r="H42" s="7">
        <v>44</v>
      </c>
      <c r="I42" s="7"/>
      <c r="J42" s="7">
        <v>48</v>
      </c>
      <c r="K42" s="7"/>
      <c r="L42" s="7">
        <v>49</v>
      </c>
      <c r="M42" s="7"/>
      <c r="N42" s="7">
        <v>48</v>
      </c>
      <c r="O42" s="7">
        <v>49</v>
      </c>
      <c r="P42" s="13"/>
    </row>
    <row r="43" spans="1:16" ht="11.25">
      <c r="A43" s="1" t="s">
        <v>43</v>
      </c>
      <c r="C43" s="14">
        <v>0.008200922603792926</v>
      </c>
      <c r="D43" s="14">
        <f aca="true" t="shared" si="7" ref="D43:O43">D41/D12</f>
        <v>0.010282776349614395</v>
      </c>
      <c r="E43" s="14">
        <f t="shared" si="7"/>
        <v>0.008817427385892116</v>
      </c>
      <c r="F43" s="14">
        <f t="shared" si="7"/>
        <v>0.006788511749347258</v>
      </c>
      <c r="G43" s="14">
        <f t="shared" si="7"/>
        <v>0.00482315112540193</v>
      </c>
      <c r="H43" s="14">
        <f t="shared" si="7"/>
        <v>0.004759386567953464</v>
      </c>
      <c r="I43" s="14">
        <f t="shared" si="7"/>
        <v>0</v>
      </c>
      <c r="J43" s="14">
        <f t="shared" si="7"/>
        <v>0.013955984970477724</v>
      </c>
      <c r="K43" s="14">
        <f t="shared" si="7"/>
        <v>0</v>
      </c>
      <c r="L43" s="14">
        <f t="shared" si="7"/>
        <v>0.014861995753715499</v>
      </c>
      <c r="M43" s="14">
        <f t="shared" si="7"/>
        <v>0</v>
      </c>
      <c r="N43" s="14">
        <f t="shared" si="7"/>
        <v>0.014802631578947368</v>
      </c>
      <c r="O43" s="14">
        <f t="shared" si="7"/>
        <v>0.0029036004645760743</v>
      </c>
      <c r="P43" s="13"/>
    </row>
    <row r="44" spans="1:16" ht="11.25">
      <c r="A44" s="1" t="s">
        <v>44</v>
      </c>
      <c r="C44" s="14">
        <v>3.25</v>
      </c>
      <c r="D44" s="14">
        <f aca="true" t="shared" si="8" ref="D44:O44">D42/D41</f>
        <v>2.35</v>
      </c>
      <c r="E44" s="14">
        <f t="shared" si="8"/>
        <v>2.6470588235294117</v>
      </c>
      <c r="F44" s="14">
        <f t="shared" si="8"/>
        <v>3</v>
      </c>
      <c r="G44" s="14">
        <f t="shared" si="8"/>
        <v>4.666666666666667</v>
      </c>
      <c r="H44" s="14">
        <f t="shared" si="8"/>
        <v>4.888888888888889</v>
      </c>
      <c r="I44" s="14" t="e">
        <f t="shared" si="8"/>
        <v>#DIV/0!</v>
      </c>
      <c r="J44" s="14">
        <f t="shared" si="8"/>
        <v>1.8461538461538463</v>
      </c>
      <c r="K44" s="14" t="e">
        <f t="shared" si="8"/>
        <v>#DIV/0!</v>
      </c>
      <c r="L44" s="14">
        <f t="shared" si="8"/>
        <v>1.75</v>
      </c>
      <c r="M44" s="14" t="e">
        <f t="shared" si="8"/>
        <v>#DIV/0!</v>
      </c>
      <c r="N44" s="14">
        <f t="shared" si="8"/>
        <v>1.7777777777777777</v>
      </c>
      <c r="O44" s="14">
        <f t="shared" si="8"/>
        <v>9.8</v>
      </c>
      <c r="P44" s="13"/>
    </row>
    <row r="45" spans="1:16" ht="11.25">
      <c r="A45" s="2" t="s">
        <v>45</v>
      </c>
      <c r="B45" s="2"/>
      <c r="C45" s="15">
        <v>0.02665299846232701</v>
      </c>
      <c r="D45" s="15">
        <f aca="true" t="shared" si="9" ref="D45:O45">D42/D12</f>
        <v>0.02416452442159383</v>
      </c>
      <c r="E45" s="15">
        <f t="shared" si="9"/>
        <v>0.023340248962655602</v>
      </c>
      <c r="F45" s="15">
        <f t="shared" si="9"/>
        <v>0.020365535248041775</v>
      </c>
      <c r="G45" s="15">
        <f t="shared" si="9"/>
        <v>0.022508038585209004</v>
      </c>
      <c r="H45" s="15">
        <f t="shared" si="9"/>
        <v>0.023268112109994712</v>
      </c>
      <c r="I45" s="15">
        <f t="shared" si="9"/>
        <v>0</v>
      </c>
      <c r="J45" s="15">
        <f t="shared" si="9"/>
        <v>0.02576489533011272</v>
      </c>
      <c r="K45" s="15">
        <f t="shared" si="9"/>
        <v>0</v>
      </c>
      <c r="L45" s="15">
        <f t="shared" si="9"/>
        <v>0.026008492569002124</v>
      </c>
      <c r="M45" s="15">
        <f t="shared" si="9"/>
        <v>0</v>
      </c>
      <c r="N45" s="15">
        <f t="shared" si="9"/>
        <v>0.02631578947368421</v>
      </c>
      <c r="O45" s="15">
        <f t="shared" si="9"/>
        <v>0.028455284552845527</v>
      </c>
      <c r="P45" s="13"/>
    </row>
    <row r="46" ht="11.25">
      <c r="A46" s="3" t="s">
        <v>46</v>
      </c>
    </row>
    <row r="47" spans="1:15" ht="11.25">
      <c r="A47" s="1" t="s">
        <v>47</v>
      </c>
      <c r="C47" s="14">
        <v>0.25248344370860926</v>
      </c>
      <c r="D47" s="14">
        <f>D24/(D12+D15)</f>
        <v>0.26306769494430166</v>
      </c>
      <c r="E47" s="14">
        <f>E24/(E12+E15)</f>
        <v>0.271505376344086</v>
      </c>
      <c r="F47" s="14">
        <f>F24/(F12+F15)</f>
        <v>0.2735934664246824</v>
      </c>
      <c r="G47" s="14">
        <f>G24/(G12+G15)</f>
        <v>0.28483703353802553</v>
      </c>
      <c r="H47" s="14">
        <f>H24/(H12+H15)</f>
        <v>0.28558052434456926</v>
      </c>
      <c r="I47" s="14"/>
      <c r="J47" s="14">
        <f>J24/(J12+J15)</f>
        <v>0.2694907616043263</v>
      </c>
      <c r="K47" s="14"/>
      <c r="L47" s="14">
        <f>L24/(L12+L15)</f>
        <v>0.2883610451306413</v>
      </c>
      <c r="M47" s="14"/>
      <c r="N47" s="14">
        <f>N24/(N12+N15)</f>
        <v>0.28544061302681994</v>
      </c>
      <c r="O47" s="14">
        <f>O24/(O12+O15)</f>
        <v>0.31207879730430277</v>
      </c>
    </row>
    <row r="48" spans="1:15" ht="11.25">
      <c r="A48" s="2" t="s">
        <v>48</v>
      </c>
      <c r="B48" s="2"/>
      <c r="C48" s="15">
        <v>0.31266017426960535</v>
      </c>
      <c r="D48" s="15">
        <f>D24/D12</f>
        <v>0.31568123393316194</v>
      </c>
      <c r="E48" s="15">
        <f>E24/E12</f>
        <v>0.31431535269709543</v>
      </c>
      <c r="F48" s="15">
        <f>F24/F12</f>
        <v>0.3148825065274151</v>
      </c>
      <c r="G48" s="15">
        <f>G24/G12</f>
        <v>0.32315112540192925</v>
      </c>
      <c r="H48" s="15">
        <f>H24/H12</f>
        <v>0.3225806451612903</v>
      </c>
      <c r="I48" s="16"/>
      <c r="J48" s="15">
        <f>J24/J12</f>
        <v>0.32098765432098764</v>
      </c>
      <c r="K48" s="16"/>
      <c r="L48" s="15">
        <f>L24/L12</f>
        <v>0.3221868365180467</v>
      </c>
      <c r="M48" s="16"/>
      <c r="N48" s="15">
        <f>N24/N12</f>
        <v>0.3267543859649123</v>
      </c>
      <c r="O48" s="15">
        <f>O24/O12</f>
        <v>0.34959349593495936</v>
      </c>
    </row>
    <row r="49" ht="11.25">
      <c r="A49" s="3" t="s">
        <v>49</v>
      </c>
    </row>
    <row r="50" spans="1:15" ht="11.25">
      <c r="A50" s="1" t="s">
        <v>50</v>
      </c>
      <c r="C50" s="17">
        <v>0.5514319111630626</v>
      </c>
      <c r="D50" s="17">
        <f>D11/D16</f>
        <v>0.5675923100396705</v>
      </c>
      <c r="E50" s="17">
        <f>E11/E16</f>
        <v>0.6246170983013088</v>
      </c>
      <c r="F50" s="17">
        <f>F11/F16</f>
        <v>0.6196423502696565</v>
      </c>
      <c r="G50" s="17">
        <f>G11/G16</f>
        <v>0.5934985516575475</v>
      </c>
      <c r="H50" s="17">
        <f>H11/H16</f>
        <v>0.6022063595068138</v>
      </c>
      <c r="I50" s="17"/>
      <c r="J50" s="17">
        <f>J11/J16</f>
        <v>0.5682704811443433</v>
      </c>
      <c r="K50" s="17"/>
      <c r="L50" s="17">
        <f>L11/L16</f>
        <v>0.6161745827984596</v>
      </c>
      <c r="M50" s="17"/>
      <c r="N50" s="17">
        <f>N11/N16</f>
        <v>0.6292099464903997</v>
      </c>
      <c r="O50" s="17">
        <f>O11/O16</f>
        <v>0.6750809061488673</v>
      </c>
    </row>
    <row r="51" spans="1:15" ht="11.25">
      <c r="A51" s="1" t="s">
        <v>51</v>
      </c>
      <c r="C51" s="17">
        <v>0.4201736806947228</v>
      </c>
      <c r="D51" s="17">
        <f>D11/D10</f>
        <v>0.4289667896678967</v>
      </c>
      <c r="E51" s="17">
        <f>E11/E10</f>
        <v>0.4842400690846287</v>
      </c>
      <c r="F51" s="17">
        <f>F11/F10</f>
        <v>0.4795694200351494</v>
      </c>
      <c r="G51" s="17">
        <f>G11/G10</f>
        <v>0.44273709483793516</v>
      </c>
      <c r="H51" s="17">
        <f>H11/H10</f>
        <v>0.4482009176527409</v>
      </c>
      <c r="I51" s="17"/>
      <c r="J51" s="17">
        <f>J11/J10</f>
        <v>0.424993921711646</v>
      </c>
      <c r="K51" s="17"/>
      <c r="L51" s="17">
        <f>L11/L10</f>
        <v>0.46087373979836777</v>
      </c>
      <c r="M51" s="17"/>
      <c r="N51" s="17">
        <f>N11/N10</f>
        <v>0.4726885788602507</v>
      </c>
      <c r="O51" s="17">
        <f>O11/O10</f>
        <v>0.5027717522294529</v>
      </c>
    </row>
    <row r="52" spans="1:15" ht="11.25">
      <c r="A52" s="2" t="s">
        <v>52</v>
      </c>
      <c r="B52" s="2"/>
      <c r="C52" s="18">
        <v>0.6873173582700175</v>
      </c>
      <c r="D52" s="18">
        <f>(D11+D15)/D16</f>
        <v>0.6862984436985047</v>
      </c>
      <c r="E52" s="18">
        <f>(E11+E15)/E16</f>
        <v>0.7092731829573935</v>
      </c>
      <c r="F52" s="18">
        <f>(F11+F15)/F16</f>
        <v>0.7016747090547829</v>
      </c>
      <c r="G52" s="18">
        <f>(G11+G15)/G16</f>
        <v>0.6742838751206952</v>
      </c>
      <c r="H52" s="18">
        <f>(H11+H15)/H16</f>
        <v>0.68170019467878</v>
      </c>
      <c r="I52" s="18"/>
      <c r="J52" s="18">
        <f>(J11+J15)/J16</f>
        <v>0.6840052015604682</v>
      </c>
      <c r="K52" s="18"/>
      <c r="L52" s="18">
        <f>(L11+L15)/L16</f>
        <v>0.6870988446726572</v>
      </c>
      <c r="M52" s="18"/>
      <c r="N52" s="18">
        <f>(N11+N15)/N16</f>
        <v>0.7123072080579163</v>
      </c>
      <c r="O52" s="18">
        <f>(O11+O15)/O16</f>
        <v>0.7420711974110032</v>
      </c>
    </row>
    <row r="53" ht="11.25">
      <c r="A53" s="3" t="s">
        <v>53</v>
      </c>
    </row>
    <row r="54" spans="1:16" ht="11.25">
      <c r="A54" s="1" t="s">
        <v>54</v>
      </c>
      <c r="C54" s="14">
        <v>0.03617913081844253</v>
      </c>
      <c r="D54" s="14">
        <f>(D39/0.75)/D27</f>
        <v>0.03758389261744966</v>
      </c>
      <c r="E54" s="14">
        <f>(E39/0.5)/E27</f>
        <v>0.04044035048303752</v>
      </c>
      <c r="F54" s="14">
        <f>(F39/0.25)/F27</f>
        <v>0.05012763982362497</v>
      </c>
      <c r="G54" s="14">
        <f>G39/G27</f>
        <v>0.058977407847800235</v>
      </c>
      <c r="H54" s="14">
        <f>(H39/0.75)/H27</f>
        <v>0.05722460658082976</v>
      </c>
      <c r="I54" s="14" t="e">
        <f>(I39/0.25)/I27</f>
        <v>#DIV/0!</v>
      </c>
      <c r="J54" s="14">
        <f>(J39/0.5)/J27</f>
        <v>0.05400284225485552</v>
      </c>
      <c r="K54" s="14" t="e">
        <f>(K39/0.25)/K27</f>
        <v>#DIV/0!</v>
      </c>
      <c r="L54" s="14">
        <f>(L39/0.25)/L27</f>
        <v>0.056557776694295465</v>
      </c>
      <c r="M54" s="14" t="e">
        <f>(M39/0.25)/M27</f>
        <v>#DIV/0!</v>
      </c>
      <c r="N54" s="14">
        <f>N39/N27</f>
        <v>0.0537714712471994</v>
      </c>
      <c r="O54" s="14">
        <f>O39/O27</f>
        <v>0.04092622509423802</v>
      </c>
      <c r="P54" s="14" t="e">
        <f>P39/P27</f>
        <v>#DIV/0!</v>
      </c>
    </row>
    <row r="55" spans="1:16" ht="11.25">
      <c r="A55" s="1" t="s">
        <v>55</v>
      </c>
      <c r="C55" s="14">
        <v>0.018946395563770795</v>
      </c>
      <c r="D55" s="14">
        <f>(D39/0.75)/D26</f>
        <v>0.01981833195706028</v>
      </c>
      <c r="E55" s="14">
        <f>(E39/0.5)/E26</f>
        <v>0.02058319039451115</v>
      </c>
      <c r="F55" s="14">
        <f>(F39/0.25)/F26</f>
        <v>0.02477632484514797</v>
      </c>
      <c r="G55" s="14">
        <f>G39/G26</f>
        <v>0.029544913033118896</v>
      </c>
      <c r="H55" s="14">
        <f>(H39/0.75)/H26</f>
        <v>0.02896451846488052</v>
      </c>
      <c r="I55" s="14" t="e">
        <f>(I39/0.25)/I26</f>
        <v>#DIV/0!</v>
      </c>
      <c r="J55" s="14">
        <f>(J39/0.5)/J26</f>
        <v>0.027014218009478674</v>
      </c>
      <c r="K55" s="14" t="e">
        <f>(K39/0.25)/K26</f>
        <v>#DIV/0!</v>
      </c>
      <c r="L55" s="14">
        <f>(L39/0.25)/L26</f>
        <v>0.02773792443806791</v>
      </c>
      <c r="M55" s="14" t="e">
        <f>(M39/0.25)/M26</f>
        <v>#DIV/0!</v>
      </c>
      <c r="N55" s="14">
        <f>N39/N26</f>
        <v>0.02578180950107424</v>
      </c>
      <c r="O55" s="14">
        <f>O39/O26</f>
        <v>0.01858872447107741</v>
      </c>
      <c r="P55" s="14" t="e">
        <f>P39/P26</f>
        <v>#DIV/0!</v>
      </c>
    </row>
    <row r="56" spans="1:16" ht="11.25">
      <c r="A56" s="1" t="s">
        <v>56</v>
      </c>
      <c r="C56" s="14">
        <v>0.13520197856553998</v>
      </c>
      <c r="D56" s="14">
        <f>(D39/0.75)/D30</f>
        <v>0.13725490196078433</v>
      </c>
      <c r="E56" s="14">
        <f>(E39/0.5)/E30</f>
        <v>0.14950166112956811</v>
      </c>
      <c r="F56" s="14">
        <f>(F39/0.25)/F30</f>
        <v>0.17851239669421487</v>
      </c>
      <c r="G56" s="14">
        <f>G39/G30</f>
        <v>0.2044517724649629</v>
      </c>
      <c r="H56" s="14">
        <f>(H39/0.75)/H30</f>
        <v>0.1972062448644207</v>
      </c>
      <c r="I56" s="14" t="e">
        <f>(I39/0.25)/I30</f>
        <v>#DIV/0!</v>
      </c>
      <c r="J56" s="14">
        <f>(J39/0.5)/J30</f>
        <v>0.19063545150501673</v>
      </c>
      <c r="K56" s="14" t="e">
        <f>(K39/0.25)/K30</f>
        <v>#DIV/0!</v>
      </c>
      <c r="L56" s="14">
        <f>(L39/0.25)/L30</f>
        <v>0.18770226537216828</v>
      </c>
      <c r="M56" s="14" t="e">
        <f>(M39/0.25)/M30</f>
        <v>#DIV/0!</v>
      </c>
      <c r="N56" s="14">
        <f>N39/N30</f>
        <v>0.18030050083472454</v>
      </c>
      <c r="O56" s="14">
        <f>O39/O30</f>
        <v>0.13463241806908768</v>
      </c>
      <c r="P56" s="14" t="e">
        <f>P39/P30</f>
        <v>#DIV/0!</v>
      </c>
    </row>
    <row r="57" spans="1:16" ht="11.25">
      <c r="A57" s="1" t="s">
        <v>57</v>
      </c>
      <c r="C57" s="14">
        <v>0.12662695786454886</v>
      </c>
      <c r="D57" s="14">
        <f>(D32/0.75)/D27</f>
        <v>0.1342281879194631</v>
      </c>
      <c r="E57" s="14">
        <f>(E32/0.5)/E27</f>
        <v>0.14109188946304202</v>
      </c>
      <c r="F57" s="14">
        <f>(F32/0.25)/F27</f>
        <v>0.14852634021814806</v>
      </c>
      <c r="G57" s="14">
        <f>G32/G27</f>
        <v>0.15219976218787157</v>
      </c>
      <c r="H57" s="14">
        <f>(H32/0.75)/H27</f>
        <v>0.14941980607216657</v>
      </c>
      <c r="I57" s="14"/>
      <c r="J57" s="14">
        <f>(J32/0.5)/J27</f>
        <v>0.1440075793462814</v>
      </c>
      <c r="K57" s="14"/>
      <c r="L57" s="14">
        <f>(L32/0.25)/L27</f>
        <v>0.14822038030229157</v>
      </c>
      <c r="M57" s="14"/>
      <c r="N57" s="14">
        <f>N32/N27</f>
        <v>0.13890963405526513</v>
      </c>
      <c r="O57" s="14">
        <f>O32/O27</f>
        <v>0.12977921378567583</v>
      </c>
      <c r="P57" s="14" t="e">
        <f>P32/P26</f>
        <v>#DIV/0!</v>
      </c>
    </row>
    <row r="58" spans="1:16" ht="11.25">
      <c r="A58" s="1" t="s">
        <v>58</v>
      </c>
      <c r="C58" s="14">
        <v>0.0600044120891242</v>
      </c>
      <c r="D58" s="14">
        <f>(D33/0.75)/D27</f>
        <v>0.06562266964951528</v>
      </c>
      <c r="E58" s="14">
        <f>(E33/0.5)/E27</f>
        <v>0.07009660750393171</v>
      </c>
      <c r="F58" s="14">
        <f>(F33/0.25)/F27</f>
        <v>0.06869343235089348</v>
      </c>
      <c r="G58" s="14">
        <f>G33/G27</f>
        <v>0.06944114149821641</v>
      </c>
      <c r="H58" s="14">
        <f>(H33/0.75)/H27</f>
        <v>0.06866952789699571</v>
      </c>
      <c r="I58" s="14"/>
      <c r="J58" s="14">
        <f>(J33/0.5)/J27</f>
        <v>0.06631927996210327</v>
      </c>
      <c r="K58" s="14"/>
      <c r="L58" s="14">
        <f>(L33/0.25)/L27</f>
        <v>0.06825938566552901</v>
      </c>
      <c r="M58" s="14"/>
      <c r="N58" s="14">
        <f>N33/N27</f>
        <v>0.06223549912870301</v>
      </c>
      <c r="O58" s="14">
        <f>O33/O26</f>
        <v>0.028127675186498717</v>
      </c>
      <c r="P58" s="14" t="e">
        <f>P33/P26</f>
        <v>#DIV/0!</v>
      </c>
    </row>
    <row r="59" spans="1:16" ht="11.25">
      <c r="A59" s="1" t="s">
        <v>59</v>
      </c>
      <c r="C59" s="14">
        <v>0.06662254577542466</v>
      </c>
      <c r="D59" s="14">
        <f>(D34/0.75)/D27</f>
        <v>0.0686055182699478</v>
      </c>
      <c r="E59" s="14">
        <f>(E34/0.5)/E27</f>
        <v>0.07099528195911031</v>
      </c>
      <c r="F59" s="14">
        <f>(F34/0.25)/F27</f>
        <v>0.07983290786725458</v>
      </c>
      <c r="G59" s="14">
        <f>G34/G27</f>
        <v>0.08275862068965517</v>
      </c>
      <c r="H59" s="14">
        <f>(H34/0.75)/H27</f>
        <v>0.08075027817517089</v>
      </c>
      <c r="I59" s="14"/>
      <c r="J59" s="14">
        <f>(J34/0.5)/J27</f>
        <v>0.07768829938417811</v>
      </c>
      <c r="K59" s="14"/>
      <c r="L59" s="14">
        <f>(L34/0.25)/L27</f>
        <v>0.07996099463676255</v>
      </c>
      <c r="M59" s="14"/>
      <c r="N59" s="14">
        <f>N34/N27</f>
        <v>0.07667413492656211</v>
      </c>
      <c r="O59" s="14">
        <f>O34/O27</f>
        <v>0.06785137318255251</v>
      </c>
      <c r="P59" s="14" t="e">
        <f>P34/P26</f>
        <v>#DIV/0!</v>
      </c>
    </row>
    <row r="60" spans="1:16" ht="11.25">
      <c r="A60" s="1" t="s">
        <v>60</v>
      </c>
      <c r="C60" s="14">
        <v>0.4034090909090909</v>
      </c>
      <c r="D60" s="14">
        <f>(D37/0.75)/(D36/0.75)</f>
        <v>0.39999999999999997</v>
      </c>
      <c r="E60" s="14">
        <f>(E37/0.5)/(E36/0.5)</f>
        <v>0.3804347826086957</v>
      </c>
      <c r="F60" s="14">
        <f>(F37/0.25)/(F36/0.25)</f>
        <v>0.3617021276595745</v>
      </c>
      <c r="G60" s="14">
        <f>G37/G36</f>
        <v>0.34183673469387754</v>
      </c>
      <c r="H60" s="14">
        <f>(H37/0.75)/(H36/0.75)</f>
        <v>0.3453237410071942</v>
      </c>
      <c r="I60" s="14">
        <f>(I37/0.75)/(I36/0.75)</f>
        <v>0.3492063492063492</v>
      </c>
      <c r="J60" s="14">
        <f>(J37/0.5)/(J36/0.5)</f>
        <v>0.34831460674157305</v>
      </c>
      <c r="K60" s="14">
        <f>(K37/0.75)/(K36/0.75)</f>
        <v>0.34523809523809523</v>
      </c>
      <c r="L60" s="14">
        <f>(L37/0.25)/(L36/0.25)</f>
        <v>0.3333333333333333</v>
      </c>
      <c r="M60" s="14">
        <f>(M37/0.75)/(M36/0.75)</f>
        <v>0.36585365853658536</v>
      </c>
      <c r="N60" s="14">
        <f>N37/N36</f>
        <v>0.3588235294117647</v>
      </c>
      <c r="O60" s="14">
        <f>O37/O36</f>
        <v>0.47619047619047616</v>
      </c>
      <c r="P60" s="14">
        <f>P37/P36</f>
        <v>0.4827586206896552</v>
      </c>
    </row>
    <row r="61" spans="1:16" ht="11.25">
      <c r="A61" s="2" t="s">
        <v>61</v>
      </c>
      <c r="B61" s="2"/>
      <c r="C61" s="15">
        <v>0.011030222810500772</v>
      </c>
      <c r="D61" s="15">
        <f>(D35/0.75)/D27</f>
        <v>0.008948545861297539</v>
      </c>
      <c r="E61" s="15">
        <f>(E35/0.5)/E27</f>
        <v>0.01168276791732195</v>
      </c>
      <c r="F61" s="15">
        <f>(F35/0.25)/F27</f>
        <v>0.0074263170109074034</v>
      </c>
      <c r="G61" s="15">
        <f>G35/G27</f>
        <v>0.010463733650416172</v>
      </c>
      <c r="H61" s="15">
        <f>(H35/0.75)/H27</f>
        <v>0.007629947544110634</v>
      </c>
      <c r="I61" s="15"/>
      <c r="J61" s="15">
        <f>(J35/0.5)/J27</f>
        <v>0.006631927996210327</v>
      </c>
      <c r="K61" s="15"/>
      <c r="L61" s="15">
        <f>(L35/0.25)/L27</f>
        <v>0.0078010726474890294</v>
      </c>
      <c r="M61" s="19"/>
      <c r="N61" s="15">
        <f>N35/N27</f>
        <v>0.007966143888473986</v>
      </c>
      <c r="O61" s="15">
        <f>O35/O27</f>
        <v>0.011308562197092083</v>
      </c>
      <c r="P61" s="15" t="e">
        <f>P35/P26</f>
        <v>#DIV/0!</v>
      </c>
    </row>
    <row r="62" ht="11.25">
      <c r="A62" s="3" t="s">
        <v>62</v>
      </c>
    </row>
    <row r="63" spans="1:15" ht="11.25">
      <c r="A63" s="1" t="s">
        <v>63</v>
      </c>
      <c r="C63" s="7">
        <v>3438</v>
      </c>
      <c r="D63" s="7">
        <v>3444</v>
      </c>
      <c r="E63" s="7">
        <v>3450</v>
      </c>
      <c r="F63" s="7">
        <v>3441</v>
      </c>
      <c r="G63" s="7">
        <v>3466</v>
      </c>
      <c r="H63" s="7">
        <v>3428</v>
      </c>
      <c r="I63" s="7"/>
      <c r="J63" s="7">
        <v>3426</v>
      </c>
      <c r="K63" s="7"/>
      <c r="L63" s="7">
        <v>3377</v>
      </c>
      <c r="M63" s="7"/>
      <c r="N63" s="7">
        <v>3340</v>
      </c>
      <c r="O63" s="7">
        <v>3337</v>
      </c>
    </row>
    <row r="64" spans="1:15" ht="11.25">
      <c r="A64" s="1" t="s">
        <v>64</v>
      </c>
      <c r="C64" s="7">
        <v>2</v>
      </c>
      <c r="D64" s="7">
        <v>2</v>
      </c>
      <c r="E64" s="7">
        <v>2</v>
      </c>
      <c r="F64" s="7">
        <v>2</v>
      </c>
      <c r="G64" s="7">
        <v>2</v>
      </c>
      <c r="H64" s="7">
        <v>2</v>
      </c>
      <c r="I64" s="7"/>
      <c r="J64" s="7">
        <v>2</v>
      </c>
      <c r="K64" s="7"/>
      <c r="L64" s="7">
        <v>2</v>
      </c>
      <c r="M64" s="7"/>
      <c r="N64" s="7">
        <v>2</v>
      </c>
      <c r="O64" s="7">
        <v>2</v>
      </c>
    </row>
    <row r="65" spans="1:15" ht="11.25">
      <c r="A65" s="1" t="s">
        <v>65</v>
      </c>
      <c r="C65" s="12">
        <v>0.5674810936591042</v>
      </c>
      <c r="D65" s="12">
        <f>(D12/D63)</f>
        <v>0.5647502903600464</v>
      </c>
      <c r="E65" s="12">
        <f>(E12/E63)</f>
        <v>0.5588405797101449</v>
      </c>
      <c r="F65" s="12">
        <f>(F12/F63)</f>
        <v>0.5565242662016856</v>
      </c>
      <c r="G65" s="12">
        <f>(G12/G63)</f>
        <v>0.5383727639930755</v>
      </c>
      <c r="H65" s="12">
        <f>H12/H63</f>
        <v>0.5516336056009334</v>
      </c>
      <c r="I65" s="12"/>
      <c r="J65" s="12">
        <f>J12/J63</f>
        <v>0.5437828371278459</v>
      </c>
      <c r="K65" s="12"/>
      <c r="L65" s="12">
        <f>L12/L63</f>
        <v>0.5578916197808705</v>
      </c>
      <c r="M65" s="12"/>
      <c r="N65" s="12">
        <f>N12/N63</f>
        <v>0.5461077844311377</v>
      </c>
      <c r="O65" s="12">
        <f>O12/O63</f>
        <v>0.5160323643991609</v>
      </c>
    </row>
    <row r="66" spans="1:15" ht="11.25">
      <c r="A66" s="1" t="s">
        <v>66</v>
      </c>
      <c r="C66" s="12">
        <v>0.995346131471786</v>
      </c>
      <c r="D66" s="12">
        <f>D16/D63</f>
        <v>0.9515098722415796</v>
      </c>
      <c r="E66" s="12">
        <f>E16/E63</f>
        <v>1.0408695652173914</v>
      </c>
      <c r="F66" s="12">
        <f>F16/F63</f>
        <v>1.023830281894798</v>
      </c>
      <c r="G66" s="12">
        <f>G16/G63</f>
        <v>0.8964223889209464</v>
      </c>
      <c r="H66" s="12">
        <f>H16/H63</f>
        <v>0.8990665110851809</v>
      </c>
      <c r="I66" s="12"/>
      <c r="J66" s="12">
        <f>J16/J63</f>
        <v>0.8978400467016929</v>
      </c>
      <c r="K66" s="12"/>
      <c r="L66" s="12">
        <f>L16/L63</f>
        <v>0.922712466686408</v>
      </c>
      <c r="M66" s="12"/>
      <c r="N66" s="12">
        <f>N16/N63</f>
        <v>0.9511976047904191</v>
      </c>
      <c r="O66" s="12">
        <f>O16/O63</f>
        <v>0.9259814204375187</v>
      </c>
    </row>
    <row r="67" spans="1:15" ht="11.25">
      <c r="A67" s="2" t="s">
        <v>67</v>
      </c>
      <c r="B67" s="2"/>
      <c r="C67" s="20">
        <v>0.02385107620709715</v>
      </c>
      <c r="D67" s="20">
        <f>D39/D63</f>
        <v>0.018292682926829267</v>
      </c>
      <c r="E67" s="20">
        <f>E39/E63</f>
        <v>0.013043478260869565</v>
      </c>
      <c r="F67" s="20">
        <f>F39/F63</f>
        <v>0.007846556233653008</v>
      </c>
      <c r="G67" s="21">
        <f>G39/G63</f>
        <v>0.03577611079053664</v>
      </c>
      <c r="H67" s="21">
        <f>H39/H63</f>
        <v>0.026254375729288213</v>
      </c>
      <c r="I67" s="21"/>
      <c r="J67" s="21">
        <f>J39/J63</f>
        <v>0.016637478108581436</v>
      </c>
      <c r="K67" s="21"/>
      <c r="L67" s="21">
        <f>L39/L63</f>
        <v>0.008587503701510216</v>
      </c>
      <c r="M67" s="21"/>
      <c r="N67" s="21">
        <f>N39/N63</f>
        <v>0.032335329341317366</v>
      </c>
      <c r="O67" s="21">
        <f>O39/O63</f>
        <v>0.022774947557686546</v>
      </c>
    </row>
    <row r="68" ht="11.25">
      <c r="A68" s="3" t="s">
        <v>68</v>
      </c>
    </row>
    <row r="69" spans="1:15" ht="11.25">
      <c r="A69" s="1" t="s">
        <v>69</v>
      </c>
      <c r="C69" s="14">
        <v>0.07827130852340947</v>
      </c>
      <c r="D69" s="14">
        <f>D10/H10-1</f>
        <v>0.04709007486114469</v>
      </c>
      <c r="E69" s="14">
        <f>E10/J10-1</f>
        <v>0.12618526622902992</v>
      </c>
      <c r="F69" s="14">
        <f>F10/L10-1</f>
        <v>0.0926548247719634</v>
      </c>
      <c r="G69" s="14">
        <f>(G10-N10)/N10</f>
        <v>-0.015133601324190116</v>
      </c>
      <c r="H69" s="22">
        <f>+(H10/I10)-1</f>
        <v>-0.0009650180940892206</v>
      </c>
      <c r="I69" s="22"/>
      <c r="J69" s="22">
        <f>+(J10/K10)-1</f>
        <v>-0.04945689854402591</v>
      </c>
      <c r="K69" s="22"/>
      <c r="L69" s="22">
        <f>+(L10/M10)-1</f>
        <v>-0.0076226774654597484</v>
      </c>
      <c r="M69" s="22"/>
      <c r="N69" s="14">
        <f>(N10-O10)/O10</f>
        <v>0.01928175463967221</v>
      </c>
      <c r="O69" s="22">
        <f>+(O10/P10)-1</f>
        <v>0.030039721946375275</v>
      </c>
    </row>
    <row r="70" spans="1:15" ht="11.25">
      <c r="A70" s="1" t="s">
        <v>70</v>
      </c>
      <c r="C70" s="14">
        <v>0.04555198285101825</v>
      </c>
      <c r="D70" s="14">
        <f>D12/H12-1</f>
        <v>0.028556319407720743</v>
      </c>
      <c r="E70" s="14">
        <f>E12/J12-1</f>
        <v>0.03488996242619424</v>
      </c>
      <c r="F70" s="14">
        <f>F12/L12-1</f>
        <v>0.01645435244161364</v>
      </c>
      <c r="G70" s="14">
        <f>(G12-N12)/N12</f>
        <v>0.023026315789473683</v>
      </c>
      <c r="H70" s="22">
        <f>H12/I12-1</f>
        <v>0.04417448923246825</v>
      </c>
      <c r="I70" s="22"/>
      <c r="J70" s="22">
        <f>J12/K12-1</f>
        <v>0.06153846153846154</v>
      </c>
      <c r="K70" s="22"/>
      <c r="L70" s="22">
        <f>L12/M12-1</f>
        <v>0.0692395005675368</v>
      </c>
      <c r="M70" s="22"/>
      <c r="N70" s="14">
        <f>(N12-O12)/O12</f>
        <v>0.059233449477351915</v>
      </c>
      <c r="O70" s="22">
        <f>O12/P12-1</f>
        <v>0.021352313167259718</v>
      </c>
    </row>
    <row r="71" spans="2:15" ht="11.25">
      <c r="B71" s="1" t="s">
        <v>21</v>
      </c>
      <c r="C71" s="14">
        <v>0.04555198285101825</v>
      </c>
      <c r="D71" s="14">
        <f>D13/H13-1</f>
        <v>0.028556319407720743</v>
      </c>
      <c r="E71" s="14">
        <f>E13/J13-1</f>
        <v>0.03488996242619424</v>
      </c>
      <c r="F71" s="14">
        <v>0</v>
      </c>
      <c r="G71" s="14">
        <f>(G13/N13)-1</f>
        <v>0.02583837273227041</v>
      </c>
      <c r="H71" s="22">
        <f>H13/I13-1</f>
        <v>0.04706533776301214</v>
      </c>
      <c r="I71" s="22"/>
      <c r="J71" s="22">
        <f>(J13/K13)-1</f>
        <v>0.0645714285714285</v>
      </c>
      <c r="K71" s="22"/>
      <c r="L71" s="22">
        <f>(L13/M13)-1</f>
        <v>0.07228229937393293</v>
      </c>
      <c r="M71" s="22"/>
      <c r="N71" s="14">
        <f>(N13/O13)-1</f>
        <v>0.056329849012775934</v>
      </c>
      <c r="O71" s="22">
        <f>+(O13/P13)-1</f>
        <v>0.021352313167259718</v>
      </c>
    </row>
    <row r="72" spans="2:15" ht="11.25">
      <c r="B72" s="1" t="s">
        <v>22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22">
        <v>0</v>
      </c>
      <c r="I72" s="22"/>
      <c r="J72" s="22">
        <v>0</v>
      </c>
      <c r="K72" s="22"/>
      <c r="L72" s="22">
        <v>0</v>
      </c>
      <c r="M72" s="22"/>
      <c r="N72" s="14">
        <v>0</v>
      </c>
      <c r="O72" s="22">
        <v>0</v>
      </c>
    </row>
    <row r="73" spans="1:15" ht="11.25">
      <c r="A73" s="1" t="s">
        <v>71</v>
      </c>
      <c r="C73" s="14">
        <v>0.10138397167685875</v>
      </c>
      <c r="D73" s="14">
        <f>D16/H16-1</f>
        <v>0.06327060350421809</v>
      </c>
      <c r="E73" s="14">
        <f>E16/J16-1</f>
        <v>0.16742522756827038</v>
      </c>
      <c r="F73" s="14">
        <f>F16/L16-1</f>
        <v>0.1306161745827985</v>
      </c>
      <c r="G73" s="14">
        <f>(G16-N16)/N16</f>
        <v>-0.022033364809568776</v>
      </c>
      <c r="H73" s="22">
        <f>H16/I16-1</f>
        <v>0.001624959376015589</v>
      </c>
      <c r="I73" s="23"/>
      <c r="J73" s="22">
        <f>J16/K16-1</f>
        <v>-0.057886676875957166</v>
      </c>
      <c r="K73" s="22"/>
      <c r="L73" s="22">
        <f>L16/M16-1</f>
        <v>-0.0003208213025345241</v>
      </c>
      <c r="M73" s="22"/>
      <c r="N73" s="14">
        <f>(N16-O16)/O16</f>
        <v>0.02815533980582524</v>
      </c>
      <c r="O73" s="22">
        <f>O16/P16-1</f>
        <v>-0.0009699321047527132</v>
      </c>
    </row>
    <row r="74" spans="2:15" ht="11.25">
      <c r="B74" s="1" t="s">
        <v>21</v>
      </c>
      <c r="C74" s="14">
        <v>0.10146818923327894</v>
      </c>
      <c r="D74" s="14">
        <f>D17/H17-1</f>
        <v>0.06447368421052624</v>
      </c>
      <c r="E74" s="14">
        <f>E17/J17-1</f>
        <v>0.1699604743083003</v>
      </c>
      <c r="F74" s="14">
        <v>0</v>
      </c>
      <c r="G74" s="14">
        <f>(G17-N17)/N17</f>
        <v>-0.02014066496163683</v>
      </c>
      <c r="H74" s="22">
        <f>(H17/I17)-1</f>
        <v>0.0036315615714757055</v>
      </c>
      <c r="I74" s="22"/>
      <c r="J74" s="22">
        <f>(J17/K17)-1</f>
        <v>-0.056263599626981686</v>
      </c>
      <c r="K74" s="22"/>
      <c r="L74" s="22">
        <f>(L17/M17)-1</f>
        <v>0.0009778357235983304</v>
      </c>
      <c r="M74" s="22"/>
      <c r="N74" s="14">
        <f>(N17-O17)/O17</f>
        <v>0.02827087442472058</v>
      </c>
      <c r="O74" s="22">
        <f>(O17/P17)-1</f>
        <v>-0.0013131976362442677</v>
      </c>
    </row>
    <row r="75" spans="2:15" ht="11.25">
      <c r="B75" s="1" t="s">
        <v>22</v>
      </c>
      <c r="C75" s="14">
        <v>0.09523809523809534</v>
      </c>
      <c r="D75" s="14">
        <f>D21/H21-1</f>
        <v>-0.023809523809523836</v>
      </c>
      <c r="E75" s="14">
        <f>E21/J21-1</f>
        <v>-0.025000000000000022</v>
      </c>
      <c r="F75" s="14">
        <f>F21/L21-1</f>
        <v>0.022222222222222143</v>
      </c>
      <c r="G75" s="14">
        <f>(G21-N21)/N21</f>
        <v>-0.14285714285714285</v>
      </c>
      <c r="H75" s="22">
        <f>(H21/I21)-1</f>
        <v>-0.125</v>
      </c>
      <c r="I75" s="22"/>
      <c r="J75" s="22">
        <f>(J21/K21)-1</f>
        <v>-0.16666666666666663</v>
      </c>
      <c r="K75" s="22"/>
      <c r="L75" s="22">
        <f>(L21/M21)-1</f>
        <v>-0.08163265306122447</v>
      </c>
      <c r="M75" s="22"/>
      <c r="N75" s="14">
        <f>(N21-O21)/O21</f>
        <v>0.020833333333333332</v>
      </c>
      <c r="O75" s="22">
        <f>(O21/P21)-1</f>
        <v>0.02127659574468077</v>
      </c>
    </row>
    <row r="76" spans="1:15" ht="11.25">
      <c r="A76" s="1" t="s">
        <v>72</v>
      </c>
      <c r="C76" s="14">
        <v>0.011608623548922115</v>
      </c>
      <c r="D76" s="14">
        <f>D24/H24-1</f>
        <v>0.006557377049180246</v>
      </c>
      <c r="E76" s="14">
        <f>E24/J24-1</f>
        <v>0.013377926421404673</v>
      </c>
      <c r="F76" s="14">
        <f>F24/L24-1</f>
        <v>-0.00658978583196046</v>
      </c>
      <c r="G76" s="14">
        <f>(G24/N24)-1</f>
        <v>0.011744966442952975</v>
      </c>
      <c r="H76" s="22">
        <f>(H24/I24)-1</f>
        <v>0.0049423393739702615</v>
      </c>
      <c r="I76" s="22"/>
      <c r="J76" s="22">
        <f>(J24/K24)-1</f>
        <v>0</v>
      </c>
      <c r="K76" s="22"/>
      <c r="L76" s="22">
        <f>(L24/M24)-1</f>
        <v>-0.03497615262321141</v>
      </c>
      <c r="M76" s="22"/>
      <c r="N76" s="14">
        <f>(N24-O24)/O24</f>
        <v>-0.009966777408637873</v>
      </c>
      <c r="O76" s="22">
        <f>(O24/P24)-1</f>
        <v>0.14231499051233398</v>
      </c>
    </row>
    <row r="77" spans="1:15" ht="11.25">
      <c r="A77" s="2" t="s">
        <v>73</v>
      </c>
      <c r="B77" s="2"/>
      <c r="C77" s="15">
        <v>-0.33870967741935487</v>
      </c>
      <c r="D77" s="15">
        <f>D39/H39-1</f>
        <v>-0.30000000000000004</v>
      </c>
      <c r="E77" s="15">
        <f>E39/J39-1</f>
        <v>-0.21052631578947367</v>
      </c>
      <c r="F77" s="15">
        <f>F39/L39-1</f>
        <v>-0.06896551724137934</v>
      </c>
      <c r="G77" s="15">
        <f>(G39-N39)/N39</f>
        <v>0.14814814814814814</v>
      </c>
      <c r="H77" s="24">
        <f>H39/I39-1</f>
        <v>0.09756097560975618</v>
      </c>
      <c r="I77" s="25"/>
      <c r="J77" s="24">
        <f>J39/K39-1</f>
        <v>0.017857142857142794</v>
      </c>
      <c r="K77" s="24"/>
      <c r="L77" s="24">
        <f>L39/M39-1</f>
        <v>0.11538461538461542</v>
      </c>
      <c r="M77" s="24"/>
      <c r="N77" s="15">
        <f>(N39-O39)/O39</f>
        <v>0.42105263157894735</v>
      </c>
      <c r="O77" s="24">
        <f>(O39/P39)-1</f>
        <v>0.2881355932203389</v>
      </c>
    </row>
    <row r="78" spans="2:16" ht="11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ht="11.25">
      <c r="A79" s="1" t="s">
        <v>74</v>
      </c>
    </row>
    <row r="80" spans="1:2" ht="11.25">
      <c r="A80" s="1" t="s">
        <v>75</v>
      </c>
      <c r="B80" s="1" t="s">
        <v>76</v>
      </c>
    </row>
  </sheetData>
  <sheetProtection password="CD66" sheet="1" objects="1" scenarios="1"/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6670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2002-04-09T20:48:18Z</cp:lastPrinted>
  <dcterms:created xsi:type="dcterms:W3CDTF">2002-03-19T21:20:48Z</dcterms:created>
  <dcterms:modified xsi:type="dcterms:W3CDTF">2002-07-12T14:42:03Z</dcterms:modified>
  <cp:category/>
  <cp:version/>
  <cp:contentType/>
  <cp:contentStatus/>
</cp:coreProperties>
</file>