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nb (Lic Int)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<sst xmlns="http://schemas.openxmlformats.org/spreadsheetml/2006/main" count="80" uniqueCount="68">
  <si>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19-9    GNB BANK (PANAMA),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</si>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</sst>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4">
    <font>
      <sz val="10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0" fontId="3" fillId="0" borderId="0" xfId="19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0" fontId="3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421875" style="1" customWidth="1"/>
    <col min="2" max="2" width="33.57421875" style="1" customWidth="1"/>
    <col min="3" max="3" width="11.421875" style="1" customWidth="1"/>
    <col min="4" max="4" width="9.421875" style="1" customWidth="1"/>
    <col min="5" max="5" width="9.7109375" style="1" customWidth="1"/>
    <col min="6" max="6" width="10.00390625" style="1" customWidth="1"/>
    <col min="7" max="7" width="11.7109375" style="1" customWidth="1"/>
    <col min="8" max="8" width="12.140625" style="1" customWidth="1"/>
    <col min="9" max="16384" width="11.42187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18"/>
      <c r="B6" s="18"/>
      <c r="C6" s="18"/>
      <c r="D6" s="18"/>
      <c r="E6" s="18"/>
      <c r="F6" s="18"/>
      <c r="G6" s="18"/>
      <c r="H6" s="18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60233</v>
      </c>
      <c r="D9" s="7">
        <v>72643</v>
      </c>
      <c r="E9" s="7">
        <v>73686</v>
      </c>
      <c r="F9" s="7">
        <v>87108</v>
      </c>
      <c r="G9" s="7">
        <v>72134</v>
      </c>
      <c r="H9" s="7">
        <v>93876</v>
      </c>
    </row>
    <row r="10" spans="1:8" ht="11.25">
      <c r="A10" s="6" t="s">
        <v>11</v>
      </c>
      <c r="B10" s="6"/>
      <c r="C10" s="7">
        <v>10898</v>
      </c>
      <c r="D10" s="7">
        <v>16454</v>
      </c>
      <c r="E10" s="7">
        <v>24697</v>
      </c>
      <c r="F10" s="7">
        <v>53357</v>
      </c>
      <c r="G10" s="7">
        <v>23312</v>
      </c>
      <c r="H10" s="7">
        <v>24285</v>
      </c>
    </row>
    <row r="11" spans="1:8" ht="11.25">
      <c r="A11" s="6" t="s">
        <v>12</v>
      </c>
      <c r="B11" s="6"/>
      <c r="C11" s="7">
        <f aca="true" t="shared" si="0" ref="C11:H11">C12+C13</f>
        <v>11907</v>
      </c>
      <c r="D11" s="7">
        <f t="shared" si="0"/>
        <v>13857</v>
      </c>
      <c r="E11" s="7">
        <f t="shared" si="0"/>
        <v>12462</v>
      </c>
      <c r="F11" s="7">
        <f t="shared" si="0"/>
        <v>2768</v>
      </c>
      <c r="G11" s="7">
        <f t="shared" si="0"/>
        <v>18071</v>
      </c>
      <c r="H11" s="7">
        <f t="shared" si="0"/>
        <v>14285</v>
      </c>
    </row>
    <row r="12" spans="1:8" ht="11.25">
      <c r="A12" s="6"/>
      <c r="B12" s="6" t="s">
        <v>13</v>
      </c>
      <c r="C12" s="7">
        <v>0</v>
      </c>
      <c r="D12" s="7">
        <v>665</v>
      </c>
      <c r="E12" s="7">
        <v>752</v>
      </c>
      <c r="F12" s="7">
        <v>746</v>
      </c>
      <c r="G12" s="7">
        <v>759</v>
      </c>
      <c r="H12" s="7">
        <v>1063</v>
      </c>
    </row>
    <row r="13" spans="1:8" ht="11.25">
      <c r="A13" s="6"/>
      <c r="B13" s="6" t="s">
        <v>14</v>
      </c>
      <c r="C13" s="7">
        <v>11907</v>
      </c>
      <c r="D13" s="7">
        <v>13192</v>
      </c>
      <c r="E13" s="7">
        <v>11710</v>
      </c>
      <c r="F13" s="7">
        <v>2022</v>
      </c>
      <c r="G13" s="7">
        <v>17312</v>
      </c>
      <c r="H13" s="7">
        <v>13222</v>
      </c>
    </row>
    <row r="14" spans="1:8" ht="11.25">
      <c r="A14" s="6" t="s">
        <v>15</v>
      </c>
      <c r="B14" s="6"/>
      <c r="C14" s="7">
        <v>36535</v>
      </c>
      <c r="D14" s="7">
        <v>39676</v>
      </c>
      <c r="E14" s="7">
        <v>34471</v>
      </c>
      <c r="F14" s="7">
        <v>28565</v>
      </c>
      <c r="G14" s="7">
        <v>28567</v>
      </c>
      <c r="H14" s="7">
        <v>41302</v>
      </c>
    </row>
    <row r="15" spans="1:8" ht="11.25">
      <c r="A15" s="6" t="s">
        <v>16</v>
      </c>
      <c r="B15" s="6"/>
      <c r="C15" s="7">
        <f aca="true" t="shared" si="1" ref="C15:H15">C16+C20</f>
        <v>47746</v>
      </c>
      <c r="D15" s="7">
        <f t="shared" si="1"/>
        <v>46895</v>
      </c>
      <c r="E15" s="7">
        <f t="shared" si="1"/>
        <v>51968</v>
      </c>
      <c r="F15" s="7">
        <f t="shared" si="1"/>
        <v>65855</v>
      </c>
      <c r="G15" s="7">
        <f t="shared" si="1"/>
        <v>50942</v>
      </c>
      <c r="H15" s="7">
        <f t="shared" si="1"/>
        <v>65822</v>
      </c>
    </row>
    <row r="16" spans="1:8" ht="11.25">
      <c r="A16" s="6"/>
      <c r="B16" s="6" t="s">
        <v>13</v>
      </c>
      <c r="C16" s="7">
        <f aca="true" t="shared" si="2" ref="C16:H16">SUM(C17:C19)</f>
        <v>0</v>
      </c>
      <c r="D16" s="7">
        <f t="shared" si="2"/>
        <v>45</v>
      </c>
      <c r="E16" s="7">
        <f t="shared" si="2"/>
        <v>420</v>
      </c>
      <c r="F16" s="7">
        <f t="shared" si="2"/>
        <v>478</v>
      </c>
      <c r="G16" s="7">
        <f t="shared" si="2"/>
        <v>557</v>
      </c>
      <c r="H16" s="7">
        <f t="shared" si="2"/>
        <v>1816</v>
      </c>
    </row>
    <row r="17" spans="1:8" ht="11.25">
      <c r="A17" s="6"/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1.25">
      <c r="A18" s="6"/>
      <c r="B18" s="6" t="s">
        <v>18</v>
      </c>
      <c r="C18" s="7">
        <v>0</v>
      </c>
      <c r="D18" s="7">
        <v>45</v>
      </c>
      <c r="E18" s="7">
        <v>420</v>
      </c>
      <c r="F18" s="7">
        <v>478</v>
      </c>
      <c r="G18" s="7">
        <v>557</v>
      </c>
      <c r="H18" s="7">
        <v>1816</v>
      </c>
    </row>
    <row r="19" spans="1:8" ht="11.25">
      <c r="A19" s="6"/>
      <c r="B19" s="6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1.25">
      <c r="A20" s="6"/>
      <c r="B20" s="6" t="s">
        <v>14</v>
      </c>
      <c r="C20" s="7">
        <f aca="true" t="shared" si="3" ref="C20:H20">SUM(C21:C22)</f>
        <v>47746</v>
      </c>
      <c r="D20" s="7">
        <f t="shared" si="3"/>
        <v>46850</v>
      </c>
      <c r="E20" s="7">
        <f t="shared" si="3"/>
        <v>51548</v>
      </c>
      <c r="F20" s="7">
        <f t="shared" si="3"/>
        <v>65377</v>
      </c>
      <c r="G20" s="7">
        <f t="shared" si="3"/>
        <v>50385</v>
      </c>
      <c r="H20" s="7">
        <f t="shared" si="3"/>
        <v>64006</v>
      </c>
    </row>
    <row r="21" spans="1:8" ht="11.25">
      <c r="A21" s="6"/>
      <c r="B21" s="6" t="s">
        <v>18</v>
      </c>
      <c r="C21" s="7">
        <f>18622+8776</f>
        <v>27398</v>
      </c>
      <c r="D21" s="7">
        <v>25584</v>
      </c>
      <c r="E21" s="7">
        <v>28775</v>
      </c>
      <c r="F21" s="7">
        <v>31508</v>
      </c>
      <c r="G21" s="7">
        <v>44765</v>
      </c>
      <c r="H21" s="7">
        <v>63987</v>
      </c>
    </row>
    <row r="22" spans="1:8" ht="11.25">
      <c r="A22" s="6"/>
      <c r="B22" s="6" t="s">
        <v>19</v>
      </c>
      <c r="C22" s="7">
        <v>20348</v>
      </c>
      <c r="D22" s="7">
        <v>21266</v>
      </c>
      <c r="E22" s="7">
        <v>22773</v>
      </c>
      <c r="F22" s="7">
        <v>33869</v>
      </c>
      <c r="G22" s="7">
        <v>5620</v>
      </c>
      <c r="H22" s="7">
        <v>19</v>
      </c>
    </row>
    <row r="23" spans="1:8" ht="11.25">
      <c r="A23" s="2" t="s">
        <v>20</v>
      </c>
      <c r="B23" s="2"/>
      <c r="C23" s="8">
        <v>3806</v>
      </c>
      <c r="D23" s="8">
        <v>10087</v>
      </c>
      <c r="E23" s="8">
        <v>10274</v>
      </c>
      <c r="F23" s="8">
        <v>10252</v>
      </c>
      <c r="G23" s="8">
        <v>10045</v>
      </c>
      <c r="H23" s="8">
        <v>11498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f>(60233+72134)/2</f>
        <v>66183.5</v>
      </c>
      <c r="D25" s="7">
        <f>(72643+74499)/2</f>
        <v>73571</v>
      </c>
      <c r="E25" s="7">
        <f>(73686+81406)/2</f>
        <v>77546</v>
      </c>
      <c r="F25" s="7">
        <f>(87109+75710)/2</f>
        <v>81409.5</v>
      </c>
      <c r="G25" s="7">
        <f>(G9+H9)/2</f>
        <v>83005</v>
      </c>
      <c r="H25" s="7">
        <f>(H9+110258)/2</f>
        <v>102067</v>
      </c>
    </row>
    <row r="26" spans="1:8" ht="11.25">
      <c r="A26" s="6" t="s">
        <v>22</v>
      </c>
      <c r="B26" s="6"/>
      <c r="C26" s="7">
        <f aca="true" t="shared" si="4" ref="C26:H26">C27+C28</f>
        <v>47540</v>
      </c>
      <c r="D26" s="7">
        <f t="shared" si="4"/>
        <v>50814.5</v>
      </c>
      <c r="E26" s="7">
        <f t="shared" si="4"/>
        <v>51647.5</v>
      </c>
      <c r="F26" s="7">
        <f t="shared" si="4"/>
        <v>48230.5</v>
      </c>
      <c r="G26" s="7">
        <f t="shared" si="4"/>
        <v>51112.5</v>
      </c>
      <c r="H26" s="7">
        <f t="shared" si="4"/>
        <v>66489.5</v>
      </c>
    </row>
    <row r="27" spans="1:8" ht="11.25">
      <c r="A27" s="6"/>
      <c r="B27" s="6" t="s">
        <v>12</v>
      </c>
      <c r="C27" s="7">
        <f>(C11+G11)/2</f>
        <v>14989</v>
      </c>
      <c r="D27" s="7">
        <f>(13857+20525)/2</f>
        <v>17191</v>
      </c>
      <c r="E27" s="7">
        <f>(12462+20611)/2</f>
        <v>16536.5</v>
      </c>
      <c r="F27" s="7">
        <f>(2769+24832)/2</f>
        <v>13800.5</v>
      </c>
      <c r="G27" s="7">
        <f>(G11+H11)/2</f>
        <v>16178</v>
      </c>
      <c r="H27" s="7">
        <f>(H11+35184)/2</f>
        <v>24734.5</v>
      </c>
    </row>
    <row r="28" spans="1:8" ht="11.25">
      <c r="A28" s="6"/>
      <c r="B28" s="6" t="s">
        <v>15</v>
      </c>
      <c r="C28" s="7">
        <f>(C14+G14)/2</f>
        <v>32551</v>
      </c>
      <c r="D28" s="7">
        <f>(39676+27571)/2</f>
        <v>33623.5</v>
      </c>
      <c r="E28" s="7">
        <f>(34471+35751)/2</f>
        <v>35111</v>
      </c>
      <c r="F28" s="7">
        <f>(28565+40295)/2</f>
        <v>34430</v>
      </c>
      <c r="G28" s="7">
        <f>(G14+H14)/2</f>
        <v>34934.5</v>
      </c>
      <c r="H28" s="7">
        <f>(H14+42208)/2</f>
        <v>41755</v>
      </c>
    </row>
    <row r="29" spans="1:8" ht="11.25">
      <c r="A29" s="2" t="s">
        <v>20</v>
      </c>
      <c r="B29" s="2"/>
      <c r="C29" s="8">
        <f>(C23+G23)/2</f>
        <v>6925.5</v>
      </c>
      <c r="D29" s="8">
        <f>(10087+10214)/2</f>
        <v>10150.5</v>
      </c>
      <c r="E29" s="8">
        <f>(10275+10061)/2</f>
        <v>10168</v>
      </c>
      <c r="F29" s="8">
        <f>(10253+10785)/2</f>
        <v>10519</v>
      </c>
      <c r="G29" s="8">
        <f>(G23+H23)/2</f>
        <v>10771.5</v>
      </c>
      <c r="H29" s="8">
        <f>(H23+13133)/2</f>
        <v>12315.5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v>3160</v>
      </c>
      <c r="D31" s="7">
        <f>890+E31</f>
        <v>2357</v>
      </c>
      <c r="E31" s="7">
        <f>774+F31</f>
        <v>1467</v>
      </c>
      <c r="F31" s="7">
        <v>693</v>
      </c>
      <c r="G31" s="7">
        <v>4783</v>
      </c>
      <c r="H31" s="7">
        <v>6601</v>
      </c>
    </row>
    <row r="32" spans="1:8" ht="11.25">
      <c r="A32" s="6" t="s">
        <v>25</v>
      </c>
      <c r="B32" s="6"/>
      <c r="C32" s="7">
        <v>2893</v>
      </c>
      <c r="D32" s="7">
        <f>810+E32</f>
        <v>2097</v>
      </c>
      <c r="E32" s="7">
        <f>761+F32</f>
        <v>1287</v>
      </c>
      <c r="F32" s="7">
        <v>526</v>
      </c>
      <c r="G32" s="7">
        <v>3292</v>
      </c>
      <c r="H32" s="7">
        <v>5403</v>
      </c>
    </row>
    <row r="33" spans="1:8" ht="11.25">
      <c r="A33" s="6" t="s">
        <v>26</v>
      </c>
      <c r="B33" s="6"/>
      <c r="C33" s="7">
        <f aca="true" t="shared" si="5" ref="C33:H33">C31-C32</f>
        <v>267</v>
      </c>
      <c r="D33" s="7">
        <f t="shared" si="5"/>
        <v>260</v>
      </c>
      <c r="E33" s="7">
        <f t="shared" si="5"/>
        <v>180</v>
      </c>
      <c r="F33" s="7">
        <f t="shared" si="5"/>
        <v>167</v>
      </c>
      <c r="G33" s="7">
        <f t="shared" si="5"/>
        <v>1491</v>
      </c>
      <c r="H33" s="7">
        <f t="shared" si="5"/>
        <v>1198</v>
      </c>
    </row>
    <row r="34" spans="1:8" ht="11.25">
      <c r="A34" s="6" t="s">
        <v>27</v>
      </c>
      <c r="B34" s="6"/>
      <c r="C34" s="7">
        <v>4386</v>
      </c>
      <c r="D34" s="7">
        <f>277+E34</f>
        <v>1720</v>
      </c>
      <c r="E34" s="7">
        <f>865+F34</f>
        <v>1443</v>
      </c>
      <c r="F34" s="7">
        <v>578</v>
      </c>
      <c r="G34" s="7">
        <v>6162</v>
      </c>
      <c r="H34" s="7">
        <v>13273</v>
      </c>
    </row>
    <row r="35" spans="1:8" ht="11.25">
      <c r="A35" s="6" t="s">
        <v>28</v>
      </c>
      <c r="B35" s="6"/>
      <c r="C35" s="7">
        <f aca="true" t="shared" si="6" ref="C35:H35">C33+C34</f>
        <v>4653</v>
      </c>
      <c r="D35" s="7">
        <f t="shared" si="6"/>
        <v>1980</v>
      </c>
      <c r="E35" s="7">
        <f t="shared" si="6"/>
        <v>1623</v>
      </c>
      <c r="F35" s="7">
        <f t="shared" si="6"/>
        <v>745</v>
      </c>
      <c r="G35" s="7">
        <f t="shared" si="6"/>
        <v>7653</v>
      </c>
      <c r="H35" s="7">
        <f t="shared" si="6"/>
        <v>14471</v>
      </c>
    </row>
    <row r="36" spans="1:8" ht="11.25">
      <c r="A36" s="6" t="s">
        <v>29</v>
      </c>
      <c r="B36" s="6"/>
      <c r="C36" s="7">
        <v>2814</v>
      </c>
      <c r="D36" s="7">
        <f>206+E36</f>
        <v>688</v>
      </c>
      <c r="E36" s="7">
        <f>243+F36</f>
        <v>482</v>
      </c>
      <c r="F36" s="7">
        <v>239</v>
      </c>
      <c r="G36" s="7">
        <v>5860</v>
      </c>
      <c r="H36" s="7">
        <v>12551</v>
      </c>
    </row>
    <row r="37" spans="1:8" ht="11.25">
      <c r="A37" s="6" t="s">
        <v>30</v>
      </c>
      <c r="B37" s="6"/>
      <c r="C37" s="7">
        <f aca="true" t="shared" si="7" ref="C37:H37">C35-C36</f>
        <v>1839</v>
      </c>
      <c r="D37" s="7">
        <f t="shared" si="7"/>
        <v>1292</v>
      </c>
      <c r="E37" s="7">
        <f t="shared" si="7"/>
        <v>1141</v>
      </c>
      <c r="F37" s="7">
        <f t="shared" si="7"/>
        <v>506</v>
      </c>
      <c r="G37" s="7">
        <f t="shared" si="7"/>
        <v>1793</v>
      </c>
      <c r="H37" s="7">
        <f t="shared" si="7"/>
        <v>1920</v>
      </c>
    </row>
    <row r="38" spans="1:8" ht="11.25">
      <c r="A38" s="2" t="s">
        <v>31</v>
      </c>
      <c r="B38" s="2"/>
      <c r="C38" s="8">
        <v>1459</v>
      </c>
      <c r="D38" s="8">
        <f>113+E38</f>
        <v>1242</v>
      </c>
      <c r="E38" s="8">
        <f>623+F38</f>
        <v>1129</v>
      </c>
      <c r="F38" s="8">
        <v>506</v>
      </c>
      <c r="G38" s="8">
        <v>1688</v>
      </c>
      <c r="H38" s="8">
        <v>1920</v>
      </c>
    </row>
    <row r="39" spans="1:8" ht="11.25">
      <c r="A39" s="4" t="s">
        <v>32</v>
      </c>
      <c r="B39" s="6"/>
      <c r="C39" s="6"/>
      <c r="D39" s="6"/>
      <c r="E39" s="6"/>
      <c r="F39" s="6"/>
      <c r="G39" s="6"/>
      <c r="H39" s="6"/>
    </row>
    <row r="40" spans="1:8" ht="11.25">
      <c r="A40" s="6" t="s">
        <v>33</v>
      </c>
      <c r="B40" s="6"/>
      <c r="C40" s="7">
        <v>0</v>
      </c>
      <c r="D40" s="7">
        <v>0</v>
      </c>
      <c r="E40" s="7">
        <v>0</v>
      </c>
      <c r="F40" s="7">
        <v>3</v>
      </c>
      <c r="G40" s="7">
        <v>4</v>
      </c>
      <c r="H40" s="7">
        <v>29</v>
      </c>
    </row>
    <row r="41" spans="1:8" ht="11.25">
      <c r="A41" s="6" t="s">
        <v>34</v>
      </c>
      <c r="B41" s="6"/>
      <c r="C41" s="7">
        <v>68</v>
      </c>
      <c r="D41" s="7">
        <v>30</v>
      </c>
      <c r="E41" s="7">
        <v>35</v>
      </c>
      <c r="F41" s="7">
        <v>47</v>
      </c>
      <c r="G41" s="7">
        <v>114</v>
      </c>
      <c r="H41" s="7">
        <v>85</v>
      </c>
    </row>
    <row r="42" spans="1:8" ht="11.25">
      <c r="A42" s="6" t="s">
        <v>35</v>
      </c>
      <c r="B42" s="6"/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0.001083815028901734</v>
      </c>
      <c r="G42" s="9">
        <f t="shared" si="8"/>
        <v>0.0002213491229041005</v>
      </c>
      <c r="H42" s="9">
        <f t="shared" si="8"/>
        <v>0.0020301015050752536</v>
      </c>
    </row>
    <row r="43" spans="1:8" ht="11.25">
      <c r="A43" s="6" t="s">
        <v>36</v>
      </c>
      <c r="B43" s="6"/>
      <c r="C43" s="9">
        <f aca="true" t="shared" si="9" ref="C43:H43">C41/C11</f>
        <v>0.005710926345846981</v>
      </c>
      <c r="D43" s="9">
        <f t="shared" si="9"/>
        <v>0.002164970772894566</v>
      </c>
      <c r="E43" s="9">
        <f t="shared" si="9"/>
        <v>0.0028085379553843687</v>
      </c>
      <c r="F43" s="9">
        <f t="shared" si="9"/>
        <v>0.016979768786127166</v>
      </c>
      <c r="G43" s="9">
        <f t="shared" si="9"/>
        <v>0.006308450002766864</v>
      </c>
      <c r="H43" s="9">
        <f t="shared" si="9"/>
        <v>0.005950297514875744</v>
      </c>
    </row>
    <row r="44" spans="1:8" ht="11.25">
      <c r="A44" s="10" t="s">
        <v>37</v>
      </c>
      <c r="B44" s="6"/>
      <c r="C44" s="9">
        <f aca="true" t="shared" si="10" ref="C44:H44">(C40+C41)/C11</f>
        <v>0.005710926345846981</v>
      </c>
      <c r="D44" s="9">
        <f t="shared" si="10"/>
        <v>0.002164970772894566</v>
      </c>
      <c r="E44" s="9">
        <f t="shared" si="10"/>
        <v>0.0028085379553843687</v>
      </c>
      <c r="F44" s="9">
        <f t="shared" si="10"/>
        <v>0.018063583815028903</v>
      </c>
      <c r="G44" s="9">
        <f t="shared" si="10"/>
        <v>0.006529799125670964</v>
      </c>
      <c r="H44" s="9">
        <f t="shared" si="10"/>
        <v>0.007980399019950998</v>
      </c>
    </row>
    <row r="45" spans="1:8" ht="11.25">
      <c r="A45" s="6" t="s">
        <v>38</v>
      </c>
      <c r="B45" s="6"/>
      <c r="C45" s="9">
        <f>386/C11</f>
        <v>0.03241790543377845</v>
      </c>
      <c r="D45" s="9">
        <f>17/D11</f>
        <v>0.0012268167713069206</v>
      </c>
      <c r="E45" s="9">
        <f>17/E11</f>
        <v>0.001364147006900979</v>
      </c>
      <c r="F45" s="9">
        <f>287/F11</f>
        <v>0.1036849710982659</v>
      </c>
      <c r="G45" s="9">
        <f>287/G11</f>
        <v>0.01588179956836921</v>
      </c>
      <c r="H45" s="9">
        <f>486/H11</f>
        <v>0.03402170108505425</v>
      </c>
    </row>
    <row r="46" spans="1:8" ht="11.25">
      <c r="A46" s="2" t="s">
        <v>39</v>
      </c>
      <c r="B46" s="2"/>
      <c r="C46" s="11">
        <f>386/(C40+C41)</f>
        <v>5.676470588235294</v>
      </c>
      <c r="D46" s="11">
        <f>17/(D40+D41)</f>
        <v>0.5666666666666667</v>
      </c>
      <c r="E46" s="11">
        <f>17/(E40+E41)</f>
        <v>0.4857142857142857</v>
      </c>
      <c r="F46" s="11">
        <f>287/(F40+F41)</f>
        <v>5.74</v>
      </c>
      <c r="G46" s="11">
        <f>287/(G40+G41)</f>
        <v>2.4322033898305087</v>
      </c>
      <c r="H46" s="11">
        <f>486/(H40+H41)</f>
        <v>4.2631578947368425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+C29/C25</f>
        <v>0.1046408848126799</v>
      </c>
      <c r="D48" s="9">
        <f t="shared" si="11"/>
        <v>0.13796876486659146</v>
      </c>
      <c r="E48" s="9">
        <f t="shared" si="11"/>
        <v>0.1311221726459134</v>
      </c>
      <c r="F48" s="9">
        <f t="shared" si="11"/>
        <v>0.12921096432234566</v>
      </c>
      <c r="G48" s="9">
        <f t="shared" si="11"/>
        <v>0.12976929100656587</v>
      </c>
      <c r="H48" s="9">
        <f t="shared" si="11"/>
        <v>0.12066093840320574</v>
      </c>
    </row>
    <row r="49" spans="1:8" ht="11.25">
      <c r="A49" s="2" t="s">
        <v>42</v>
      </c>
      <c r="B49" s="2"/>
      <c r="C49" s="11">
        <f aca="true" t="shared" si="12" ref="C49:H49">+C29/C26</f>
        <v>0.145677324358435</v>
      </c>
      <c r="D49" s="11">
        <f t="shared" si="12"/>
        <v>0.19975597516456917</v>
      </c>
      <c r="E49" s="11">
        <f t="shared" si="12"/>
        <v>0.19687303354470206</v>
      </c>
      <c r="F49" s="11">
        <f t="shared" si="12"/>
        <v>0.2180985061320119</v>
      </c>
      <c r="G49" s="11">
        <f t="shared" si="12"/>
        <v>0.21074101247248717</v>
      </c>
      <c r="H49" s="11">
        <f t="shared" si="12"/>
        <v>0.18522473473255174</v>
      </c>
    </row>
    <row r="50" spans="1:8" ht="11.25">
      <c r="A50" s="4" t="s">
        <v>43</v>
      </c>
      <c r="B50" s="6"/>
      <c r="C50" s="6"/>
      <c r="D50" s="6"/>
      <c r="E50" s="6"/>
      <c r="F50" s="6"/>
      <c r="G50" s="6"/>
      <c r="H50" s="6"/>
    </row>
    <row r="51" spans="1:8" ht="11.25">
      <c r="A51" s="6" t="s">
        <v>44</v>
      </c>
      <c r="B51" s="6"/>
      <c r="C51" s="9">
        <f aca="true" t="shared" si="13" ref="C51:H51">C10/C15</f>
        <v>0.2282494868680099</v>
      </c>
      <c r="D51" s="9">
        <f t="shared" si="13"/>
        <v>0.3508689625759676</v>
      </c>
      <c r="E51" s="9">
        <f t="shared" si="13"/>
        <v>0.47523475985221675</v>
      </c>
      <c r="F51" s="9">
        <f t="shared" si="13"/>
        <v>0.8102194214562296</v>
      </c>
      <c r="G51" s="9">
        <f t="shared" si="13"/>
        <v>0.45761846806171724</v>
      </c>
      <c r="H51" s="9">
        <f t="shared" si="13"/>
        <v>0.36894959132205035</v>
      </c>
    </row>
    <row r="52" spans="1:8" ht="11.25">
      <c r="A52" s="6" t="s">
        <v>45</v>
      </c>
      <c r="B52" s="6"/>
      <c r="C52" s="9">
        <f aca="true" t="shared" si="14" ref="C52:H52">C10/C9</f>
        <v>0.18093071904105723</v>
      </c>
      <c r="D52" s="9">
        <f t="shared" si="14"/>
        <v>0.22650496262544223</v>
      </c>
      <c r="E52" s="9">
        <f t="shared" si="14"/>
        <v>0.3351654316966588</v>
      </c>
      <c r="F52" s="9">
        <f t="shared" si="14"/>
        <v>0.6125384580061533</v>
      </c>
      <c r="G52" s="9">
        <f t="shared" si="14"/>
        <v>0.32317631075498376</v>
      </c>
      <c r="H52" s="9">
        <f t="shared" si="14"/>
        <v>0.2586923175252461</v>
      </c>
    </row>
    <row r="53" spans="1:8" ht="11.25">
      <c r="A53" s="2" t="s">
        <v>46</v>
      </c>
      <c r="B53" s="2"/>
      <c r="C53" s="11">
        <f aca="true" t="shared" si="15" ref="C53:H53">(C10+C14)/C15</f>
        <v>0.9934444770242533</v>
      </c>
      <c r="D53" s="11">
        <f t="shared" si="15"/>
        <v>1.196929310160998</v>
      </c>
      <c r="E53" s="11">
        <f t="shared" si="15"/>
        <v>1.1385467980295567</v>
      </c>
      <c r="F53" s="11">
        <f t="shared" si="15"/>
        <v>1.243975400501101</v>
      </c>
      <c r="G53" s="11">
        <f t="shared" si="15"/>
        <v>1.0183934670802088</v>
      </c>
      <c r="H53" s="11">
        <f t="shared" si="15"/>
        <v>0.9964297651241226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12">
        <f>C38/C26</f>
        <v>0.030689945309213294</v>
      </c>
      <c r="D55" s="12">
        <f>(D38/0.75)/D26</f>
        <v>0.03258912318334334</v>
      </c>
      <c r="E55" s="12">
        <f>(E38/0.5)/E26</f>
        <v>0.043719444309985964</v>
      </c>
      <c r="F55" s="9">
        <f>((F38)/0.25)/F26</f>
        <v>0.041965146535905704</v>
      </c>
      <c r="G55" s="9">
        <f>G38/G26</f>
        <v>0.03302518953289313</v>
      </c>
      <c r="H55" s="9">
        <f>H38/H26</f>
        <v>0.028876739936380933</v>
      </c>
    </row>
    <row r="56" spans="1:8" ht="11.25">
      <c r="A56" s="6" t="s">
        <v>49</v>
      </c>
      <c r="B56" s="6"/>
      <c r="C56" s="12">
        <f>C38/C25</f>
        <v>0.022044769466709982</v>
      </c>
      <c r="D56" s="12">
        <f>(D38/0.75)/D25</f>
        <v>0.02250886898370282</v>
      </c>
      <c r="E56" s="12">
        <f>(E38/0.5)/E25</f>
        <v>0.0291182008098419</v>
      </c>
      <c r="F56" s="9">
        <f>((F38)/0.25)/F25</f>
        <v>0.02486196328438327</v>
      </c>
      <c r="G56" s="9">
        <f>G38/G25</f>
        <v>0.020336124329859647</v>
      </c>
      <c r="H56" s="9">
        <f>H38/H25</f>
        <v>0.018811173052994602</v>
      </c>
    </row>
    <row r="57" spans="1:8" ht="11.25">
      <c r="A57" s="6" t="s">
        <v>50</v>
      </c>
      <c r="B57" s="6"/>
      <c r="C57" s="12">
        <f>+C38/C29</f>
        <v>0.21067070969605084</v>
      </c>
      <c r="D57" s="12">
        <f>(D38/0.75)/D29</f>
        <v>0.16314467267622285</v>
      </c>
      <c r="E57" s="12">
        <f>(E38/0.5)/E29</f>
        <v>0.22206923682140048</v>
      </c>
      <c r="F57" s="9">
        <f>((F38)/0.25)/F29</f>
        <v>0.19241372754064073</v>
      </c>
      <c r="G57" s="9">
        <f>G38/G29</f>
        <v>0.15670983614167014</v>
      </c>
      <c r="H57" s="9">
        <f>H38/H29</f>
        <v>0.15590110023953554</v>
      </c>
    </row>
    <row r="58" spans="1:8" ht="11.25">
      <c r="A58" s="6" t="s">
        <v>51</v>
      </c>
      <c r="B58" s="6"/>
      <c r="C58" s="12">
        <f>C31/C25</f>
        <v>0.04774603942070153</v>
      </c>
      <c r="D58" s="12">
        <f>(D31/0.75)/D25</f>
        <v>0.04271610643686597</v>
      </c>
      <c r="E58" s="12">
        <f>(E31/0.5)/E25</f>
        <v>0.037835607252469504</v>
      </c>
      <c r="F58" s="9">
        <f>((F31)/0.25)/F25</f>
        <v>0.034050080150351006</v>
      </c>
      <c r="G58" s="9">
        <f>G31/G25</f>
        <v>0.05762303475694235</v>
      </c>
      <c r="H58" s="9">
        <f>H31/H25</f>
        <v>0.06467320485563405</v>
      </c>
    </row>
    <row r="59" spans="1:8" ht="11.25">
      <c r="A59" s="6" t="s">
        <v>52</v>
      </c>
      <c r="B59" s="6"/>
      <c r="C59" s="12">
        <f>C32/C25</f>
        <v>0.04371180127977517</v>
      </c>
      <c r="D59" s="12">
        <f>(D32/0.75)/D25</f>
        <v>0.03800410487828085</v>
      </c>
      <c r="E59" s="12">
        <f>(E32/0.5)/E25</f>
        <v>0.033193201454620486</v>
      </c>
      <c r="F59" s="9">
        <f>((F32)/0.25)/F25</f>
        <v>0.025844649580208698</v>
      </c>
      <c r="G59" s="9">
        <f>G32/G25</f>
        <v>0.03966026143003434</v>
      </c>
      <c r="H59" s="9">
        <f>H32/H25</f>
        <v>0.05293581666944262</v>
      </c>
    </row>
    <row r="60" spans="1:8" ht="11.25">
      <c r="A60" s="6" t="s">
        <v>53</v>
      </c>
      <c r="B60" s="6"/>
      <c r="C60" s="12">
        <f>C33/C25</f>
        <v>0.004034238140926364</v>
      </c>
      <c r="D60" s="12">
        <f>(D33/0.75)/D25</f>
        <v>0.004712001558585131</v>
      </c>
      <c r="E60" s="12">
        <f>(E33/0.5)/E25</f>
        <v>0.004642405797849018</v>
      </c>
      <c r="F60" s="9">
        <f>((F33)/0.25)/F25</f>
        <v>0.008205430570142305</v>
      </c>
      <c r="G60" s="9">
        <f>G33/G25</f>
        <v>0.017962773326908016</v>
      </c>
      <c r="H60" s="9">
        <f>H33/H25</f>
        <v>0.011737388186191423</v>
      </c>
    </row>
    <row r="61" spans="1:8" ht="11.25">
      <c r="A61" s="6" t="s">
        <v>54</v>
      </c>
      <c r="B61" s="6"/>
      <c r="C61" s="12">
        <f>C36/C35</f>
        <v>0.6047711154094133</v>
      </c>
      <c r="D61" s="12">
        <f>(D36/0.75)/(D35/0.75)</f>
        <v>0.3474747474747475</v>
      </c>
      <c r="E61" s="12">
        <f>(E36/0.5)/(E35/0.5)</f>
        <v>0.29698089956869994</v>
      </c>
      <c r="F61" s="9">
        <f>(F36/0.25)/(F35/0.25)</f>
        <v>0.3208053691275168</v>
      </c>
      <c r="G61" s="9">
        <f>G36/G35</f>
        <v>0.7657127923690056</v>
      </c>
      <c r="H61" s="9">
        <f>H36/H35</f>
        <v>0.8673208485937393</v>
      </c>
    </row>
    <row r="62" spans="1:8" ht="11.25">
      <c r="A62" s="2" t="s">
        <v>55</v>
      </c>
      <c r="B62" s="2"/>
      <c r="C62" s="13">
        <f>C34/C25</f>
        <v>0.06627029395544207</v>
      </c>
      <c r="D62" s="13">
        <f>(D34/0.75)/D25</f>
        <v>0.031171702618332405</v>
      </c>
      <c r="E62" s="13">
        <f>(E34/0.5)/E25</f>
        <v>0.0372166198127563</v>
      </c>
      <c r="F62" s="11">
        <f>(F34/0.25)/F25</f>
        <v>0.028399633949354804</v>
      </c>
      <c r="G62" s="11">
        <f>G34/G25</f>
        <v>0.07423649177760376</v>
      </c>
      <c r="H62" s="11">
        <f>H34/H25</f>
        <v>0.13004203121479027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v>7</v>
      </c>
      <c r="D64" s="7">
        <v>7</v>
      </c>
      <c r="E64" s="7">
        <v>7</v>
      </c>
      <c r="F64" s="7">
        <v>7</v>
      </c>
      <c r="G64" s="7">
        <v>11</v>
      </c>
      <c r="H64" s="7">
        <v>16</v>
      </c>
    </row>
    <row r="65" spans="1:8" ht="11.25">
      <c r="A65" s="6" t="s">
        <v>58</v>
      </c>
      <c r="B65" s="6"/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ht="11.25">
      <c r="A66" s="6" t="s">
        <v>59</v>
      </c>
      <c r="B66" s="6"/>
      <c r="C66" s="7">
        <f aca="true" t="shared" si="16" ref="C66:H66">C11/C64</f>
        <v>1701</v>
      </c>
      <c r="D66" s="7">
        <f t="shared" si="16"/>
        <v>1979.5714285714287</v>
      </c>
      <c r="E66" s="7">
        <f t="shared" si="16"/>
        <v>1780.2857142857142</v>
      </c>
      <c r="F66" s="7">
        <f t="shared" si="16"/>
        <v>395.42857142857144</v>
      </c>
      <c r="G66" s="7">
        <f t="shared" si="16"/>
        <v>1642.8181818181818</v>
      </c>
      <c r="H66" s="7">
        <f t="shared" si="16"/>
        <v>892.8125</v>
      </c>
    </row>
    <row r="67" spans="1:8" ht="11.25">
      <c r="A67" s="6" t="s">
        <v>60</v>
      </c>
      <c r="B67" s="6"/>
      <c r="C67" s="7">
        <f aca="true" t="shared" si="17" ref="C67:H67">+C15/C64</f>
        <v>6820.857142857143</v>
      </c>
      <c r="D67" s="7">
        <f t="shared" si="17"/>
        <v>6699.285714285715</v>
      </c>
      <c r="E67" s="7">
        <f t="shared" si="17"/>
        <v>7424</v>
      </c>
      <c r="F67" s="7">
        <f t="shared" si="17"/>
        <v>9407.857142857143</v>
      </c>
      <c r="G67" s="7">
        <f t="shared" si="17"/>
        <v>4631.090909090909</v>
      </c>
      <c r="H67" s="7">
        <f t="shared" si="17"/>
        <v>4113.875</v>
      </c>
    </row>
    <row r="68" spans="1:8" ht="11.25">
      <c r="A68" s="2" t="s">
        <v>61</v>
      </c>
      <c r="B68" s="2"/>
      <c r="C68" s="8">
        <f aca="true" t="shared" si="18" ref="C68:H68">+C38/C64</f>
        <v>208.42857142857142</v>
      </c>
      <c r="D68" s="8">
        <f t="shared" si="18"/>
        <v>177.42857142857142</v>
      </c>
      <c r="E68" s="8">
        <f t="shared" si="18"/>
        <v>161.28571428571428</v>
      </c>
      <c r="F68" s="8">
        <f t="shared" si="18"/>
        <v>72.28571428571429</v>
      </c>
      <c r="G68" s="8">
        <f t="shared" si="18"/>
        <v>153.45454545454547</v>
      </c>
      <c r="H68" s="8">
        <f t="shared" si="18"/>
        <v>120</v>
      </c>
    </row>
    <row r="69" spans="1:8" ht="11.25">
      <c r="A69" s="4" t="s">
        <v>62</v>
      </c>
      <c r="B69" s="14"/>
      <c r="C69" s="14"/>
      <c r="D69" s="14"/>
      <c r="E69" s="14"/>
      <c r="F69" s="14"/>
      <c r="G69" s="14"/>
      <c r="H69" s="14"/>
    </row>
    <row r="70" spans="1:8" ht="11.25">
      <c r="A70" s="6" t="s">
        <v>63</v>
      </c>
      <c r="B70" s="10"/>
      <c r="C70" s="15">
        <f>+(C9/G9)-1</f>
        <v>-0.16498461197216296</v>
      </c>
      <c r="D70" s="15">
        <f>(D9/74499)-1</f>
        <v>-0.024913086081692404</v>
      </c>
      <c r="E70" s="15">
        <f>(E9/81406)-1</f>
        <v>-0.0948333046704174</v>
      </c>
      <c r="F70" s="15">
        <f>(F9/75710)-1</f>
        <v>0.1505481442345793</v>
      </c>
      <c r="G70" s="15">
        <f>(G9/H9)-1</f>
        <v>-0.23160339170821087</v>
      </c>
      <c r="H70" s="15">
        <f>(H9/110258)-1</f>
        <v>-0.14857878793375534</v>
      </c>
    </row>
    <row r="71" spans="1:8" ht="11.25">
      <c r="A71" s="6" t="s">
        <v>64</v>
      </c>
      <c r="B71" s="10"/>
      <c r="C71" s="15">
        <f aca="true" t="shared" si="19" ref="C71:H71">SUM(C72:C73)</f>
        <v>-1.3122111829944547</v>
      </c>
      <c r="D71" s="15">
        <f t="shared" si="19"/>
        <v>-1.1539566151578606</v>
      </c>
      <c r="E71" s="15">
        <f t="shared" si="19"/>
        <v>-1.1383953593436638</v>
      </c>
      <c r="F71" s="15">
        <f t="shared" si="19"/>
        <v>-1.4297810037055332</v>
      </c>
      <c r="G71" s="15">
        <f t="shared" si="19"/>
        <v>0.023349863173111607</v>
      </c>
      <c r="H71" s="15">
        <f t="shared" si="19"/>
        <v>-0.8808371924270936</v>
      </c>
    </row>
    <row r="72" spans="1:8" ht="11.25">
      <c r="A72" s="6"/>
      <c r="B72" s="10" t="s">
        <v>13</v>
      </c>
      <c r="C72" s="15">
        <f>+(C12/G12)-1</f>
        <v>-1</v>
      </c>
      <c r="D72" s="15">
        <f>(D12/1462)-1</f>
        <v>-0.5451436388508892</v>
      </c>
      <c r="E72" s="15">
        <f>(E12/1462)-1</f>
        <v>-0.4856361149110807</v>
      </c>
      <c r="F72" s="15">
        <f>(F12/1462)-1</f>
        <v>-0.4897400820793434</v>
      </c>
      <c r="G72" s="15">
        <f>(G12/H12)-1</f>
        <v>-0.28598306679209784</v>
      </c>
      <c r="H72" s="15">
        <f>(H12/1462)-1</f>
        <v>-0.27291381668946646</v>
      </c>
    </row>
    <row r="73" spans="1:8" ht="11.25">
      <c r="A73" s="6"/>
      <c r="B73" s="10" t="s">
        <v>14</v>
      </c>
      <c r="C73" s="15">
        <f>+(C13/G13)-1</f>
        <v>-0.3122111829944547</v>
      </c>
      <c r="D73" s="15">
        <f>(D13/33723)-1</f>
        <v>-0.6088129763069715</v>
      </c>
      <c r="E73" s="15">
        <f>(E13/33723)-1</f>
        <v>-0.6527592444325832</v>
      </c>
      <c r="F73" s="15">
        <f>(F13/33723)-1</f>
        <v>-0.9400409216261898</v>
      </c>
      <c r="G73" s="15">
        <f>(G13/H13)-1</f>
        <v>0.30933292996520945</v>
      </c>
      <c r="H73" s="15">
        <f>(H13/33723)-1</f>
        <v>-0.6079233757376271</v>
      </c>
    </row>
    <row r="74" spans="1:8" ht="11.25">
      <c r="A74" s="6" t="s">
        <v>65</v>
      </c>
      <c r="B74" s="10"/>
      <c r="C74" s="15">
        <f>SUM(C75:C76)</f>
        <v>-1.0523766994145083</v>
      </c>
      <c r="D74" s="15">
        <f>D75+D76</f>
        <v>-1.0991889912200277</v>
      </c>
      <c r="E74" s="15">
        <f>E75+E76</f>
        <v>-0.5385844695144758</v>
      </c>
      <c r="F74" s="15">
        <f>F75+F76</f>
        <v>-0.3823383858175522</v>
      </c>
      <c r="G74" s="15">
        <f>G75+G76</f>
        <v>-0.9060901125596568</v>
      </c>
      <c r="H74" s="15">
        <f>H75+H76</f>
        <v>-0.44360668476049014</v>
      </c>
    </row>
    <row r="75" spans="1:8" ht="11.25">
      <c r="A75" s="6"/>
      <c r="B75" s="10" t="s">
        <v>13</v>
      </c>
      <c r="C75" s="15">
        <f>+(C16/G16)-1</f>
        <v>-1</v>
      </c>
      <c r="D75" s="15">
        <f>(D16/648)-1</f>
        <v>-0.9305555555555556</v>
      </c>
      <c r="E75" s="15">
        <f>(E16/647)-1</f>
        <v>-0.3508500772797527</v>
      </c>
      <c r="F75" s="15">
        <f>(F16/988)-1</f>
        <v>-0.5161943319838056</v>
      </c>
      <c r="G75" s="15">
        <f>(G16/H16)-1</f>
        <v>-0.6932819383259912</v>
      </c>
      <c r="H75" s="15">
        <f>(H16/2612)-1</f>
        <v>-0.3047473200612557</v>
      </c>
    </row>
    <row r="76" spans="1:8" ht="11.25">
      <c r="A76" s="6"/>
      <c r="B76" s="10" t="s">
        <v>14</v>
      </c>
      <c r="C76" s="15">
        <f>+(C20/G20)-1</f>
        <v>-0.05237669941450829</v>
      </c>
      <c r="D76" s="15">
        <f>(D20/56353)-1</f>
        <v>-0.1686334356644722</v>
      </c>
      <c r="E76" s="15">
        <f>(E20/63462)-1</f>
        <v>-0.1877343922347231</v>
      </c>
      <c r="F76" s="15">
        <f>(F20/57659)-1</f>
        <v>0.1338559461662534</v>
      </c>
      <c r="G76" s="15">
        <f>(G20/H20)-1</f>
        <v>-0.2128081742336656</v>
      </c>
      <c r="H76" s="15">
        <f>(H20/74327)-1</f>
        <v>-0.13885936469923443</v>
      </c>
    </row>
    <row r="77" spans="1:8" ht="11.25">
      <c r="A77" s="6" t="s">
        <v>66</v>
      </c>
      <c r="B77" s="10"/>
      <c r="C77" s="15">
        <f>+(C23/G23)-1</f>
        <v>-0.6211050273768044</v>
      </c>
      <c r="D77" s="15">
        <f>(D23/10214)-1</f>
        <v>-0.01243391423536322</v>
      </c>
      <c r="E77" s="15">
        <f>(E23/10061)-1</f>
        <v>0.021170857767617512</v>
      </c>
      <c r="F77" s="15">
        <f>(F23/10785)-1</f>
        <v>-0.049420491423273094</v>
      </c>
      <c r="G77" s="15">
        <f>(G23/H23)-1</f>
        <v>-0.12636980344407722</v>
      </c>
      <c r="H77" s="15">
        <f>(H23/13133)-1</f>
        <v>-0.12449554557222264</v>
      </c>
    </row>
    <row r="78" spans="1:8" ht="11.25">
      <c r="A78" s="2" t="s">
        <v>67</v>
      </c>
      <c r="B78" s="2"/>
      <c r="C78" s="11">
        <f>+(C38/G38)-1</f>
        <v>-0.13566350710900477</v>
      </c>
      <c r="D78" s="11">
        <f>(D38/1559)-1</f>
        <v>-0.20333547145606157</v>
      </c>
      <c r="E78" s="11">
        <f>(E38/1209)-1</f>
        <v>-0.06617038875103387</v>
      </c>
      <c r="F78" s="11">
        <f>(F38/-446)-1</f>
        <v>-2.1345291479820627</v>
      </c>
      <c r="G78" s="11">
        <f>(G38/H38)-1</f>
        <v>-0.12083333333333335</v>
      </c>
      <c r="H78" s="11">
        <f>(H38/-11227)-1</f>
        <v>-1.171016299991093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2002-05-02T21:05:18Z</cp:lastPrinted>
  <dcterms:created xsi:type="dcterms:W3CDTF">2002-03-08T15:37:16Z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