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ogotá (Int)" sheetId="1" r:id="rId1"/>
  </sheets>
  <definedNames/>
  <calcPr fullCalcOnLoad="1"/>
</workbook>
</file>

<file path=xl/sharedStrings.xml><?xml version="1.0" encoding="utf-8"?>
<sst xmlns="http://schemas.openxmlformats.org/spreadsheetml/2006/main" count="95" uniqueCount="72">
  <si>
    <t>CUADRO No. 19-6    BANCO DE BOGOTA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</si>
  <si>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</si>
  <si>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</si>
  <si>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</si>
  <si>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</si>
  <si>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</si>
  <si>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</si>
  <si>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</si>
  <si>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</si>
  <si>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</si>
  <si>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</si>
  <si>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</si>
  <si>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</si>
  <si>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</si>
  <si>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</si>
  <si>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</si>
  <si>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</si>
  <si>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</si>
  <si>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</si>
  <si>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</si>
  <si>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</si>
  <si>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</si>
  <si>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</si>
  <si>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</si>
  <si>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</si>
  <si>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</si>
  <si>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</si>
  <si>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</si>
  <si>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</si>
  <si>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</si>
  <si>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</si>
  <si>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</si>
  <si>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</si>
  <si>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</si>
  <si>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</si>
  <si>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</si>
  <si>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</si>
  <si>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</si>
  <si>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</si>
  <si>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</si>
  <si>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</si>
  <si>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</si>
  <si>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</si>
  <si>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</si>
  <si>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</si>
  <si>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</si>
  <si>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</si>
  <si>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</si>
  <si>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</si>
  <si>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</si>
  <si>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N.A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</si>
  <si>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</si>
  <si>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</si>
  <si>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</si>
  <si>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</si>
  <si>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N..A</t>
  </si>
  <si>
    <t>Ingresos Netos por Intereses / Activos Totales (Promedio)</t>
  </si>
  <si>
    <t>N.A..</t>
  </si>
  <si>
    <t>Egresos Generales / Ingresos de Operaciones</t>
  </si>
  <si>
    <t>Otros Ingresos / Activos Totales (Promedio)</t>
  </si>
  <si>
    <t>Productividad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</si>
  <si>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</si>
  <si>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</si>
  <si>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</si>
  <si>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</si>
  <si>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</si>
  <si>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</si>
  <si>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</si>
  <si>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</si>
  <si>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</si>
  <si>
    <t>1. El  número de empleados considerados corresponde a Lic. General</t>
  </si>
  <si>
    <r>
      <t>Número de Empleados (</t>
    </r>
    <r>
      <rPr>
        <b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</si>
</sst>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79" fontId="4" fillId="0" borderId="0" xfId="15" applyNumberFormat="1" applyFont="1" applyAlignment="1">
      <alignment horizontal="right"/>
    </xf>
    <xf numFmtId="179" fontId="4" fillId="0" borderId="1" xfId="15" applyNumberFormat="1" applyFont="1" applyBorder="1" applyAlignment="1">
      <alignment horizontal="right"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0" xfId="19" applyNumberFormat="1" applyFont="1" applyAlignment="1">
      <alignment horizontal="right"/>
    </xf>
    <xf numFmtId="10" fontId="4" fillId="0" borderId="1" xfId="19" applyNumberFormat="1" applyFont="1" applyBorder="1" applyAlignment="1">
      <alignment horizontal="right"/>
    </xf>
    <xf numFmtId="10" fontId="4" fillId="0" borderId="0" xfId="19" applyNumberFormat="1" applyFont="1" applyFill="1" applyAlignment="1">
      <alignment/>
    </xf>
    <xf numFmtId="10" fontId="4" fillId="0" borderId="1" xfId="19" applyNumberFormat="1" applyFont="1" applyFill="1" applyBorder="1" applyAlignment="1">
      <alignment/>
    </xf>
    <xf numFmtId="0" fontId="4" fillId="0" borderId="0" xfId="19" applyNumberFormat="1" applyFont="1" applyAlignment="1">
      <alignment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11.421875" defaultRowHeight="12.75"/>
  <cols>
    <col min="1" max="1" width="3.8515625" style="1" customWidth="1"/>
    <col min="2" max="2" width="35.8515625" style="1" customWidth="1"/>
    <col min="3" max="3" width="11.421875" style="1" customWidth="1"/>
    <col min="4" max="4" width="9.8515625" style="1" customWidth="1"/>
    <col min="5" max="6" width="9.57421875" style="1" customWidth="1"/>
    <col min="7" max="7" width="11.140625" style="1" customWidth="1"/>
    <col min="8" max="16384" width="11.421875" style="1" customWidth="1"/>
  </cols>
  <sheetData>
    <row r="1" spans="2:8" ht="11.25">
      <c r="B1" s="21"/>
      <c r="C1" s="21"/>
      <c r="D1" s="21"/>
      <c r="E1" s="21"/>
      <c r="F1" s="21"/>
      <c r="G1" s="21"/>
      <c r="H1" s="21"/>
    </row>
    <row r="2" spans="2:8" ht="11.25">
      <c r="B2" s="21"/>
      <c r="C2" s="21"/>
      <c r="D2" s="21"/>
      <c r="E2" s="21"/>
      <c r="F2" s="21" t="s">
        <v>0</v>
      </c>
      <c r="G2" s="21"/>
      <c r="H2" s="21"/>
    </row>
    <row r="3" spans="2:8" ht="11.25">
      <c r="B3" s="22"/>
      <c r="C3" s="22"/>
      <c r="D3" s="22"/>
      <c r="E3" s="22"/>
      <c r="F3" s="21" t="s">
        <v>1</v>
      </c>
      <c r="G3" s="22"/>
      <c r="H3" s="22"/>
    </row>
    <row r="4" spans="1:8" ht="11.25">
      <c r="A4" s="22"/>
      <c r="B4" s="22"/>
      <c r="C4" s="22"/>
      <c r="D4" s="22"/>
      <c r="E4" s="22"/>
      <c r="F4" s="22" t="s">
        <v>2</v>
      </c>
      <c r="G4" s="22"/>
      <c r="H4" s="22"/>
    </row>
    <row r="5" spans="1:8" ht="11.25">
      <c r="A5" s="22"/>
      <c r="B5" s="22"/>
      <c r="C5" s="22"/>
      <c r="D5" s="22"/>
      <c r="E5" s="22"/>
      <c r="F5" s="22"/>
      <c r="G5" s="22"/>
      <c r="H5" s="22"/>
    </row>
    <row r="6" spans="1:8" ht="11.25">
      <c r="A6" s="22"/>
      <c r="B6" s="22"/>
      <c r="C6" s="22"/>
      <c r="D6" s="22"/>
      <c r="E6" s="22"/>
      <c r="F6" s="22"/>
      <c r="G6" s="22"/>
      <c r="H6" s="22"/>
    </row>
    <row r="7" spans="1:8" ht="11.25">
      <c r="A7" s="3"/>
      <c r="B7" s="3"/>
      <c r="C7" s="3"/>
      <c r="D7" s="3"/>
      <c r="E7" s="3"/>
      <c r="F7" s="3"/>
      <c r="G7" s="3"/>
      <c r="H7" s="3"/>
    </row>
    <row r="8" spans="1:8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1.25">
      <c r="A9" s="5" t="s">
        <v>9</v>
      </c>
      <c r="B9" s="5"/>
      <c r="C9" s="6"/>
      <c r="D9" s="6"/>
      <c r="E9" s="6"/>
      <c r="F9" s="6"/>
      <c r="G9" s="6"/>
      <c r="H9" s="6"/>
    </row>
    <row r="10" spans="1:8" ht="11.25">
      <c r="A10" s="7" t="s">
        <v>10</v>
      </c>
      <c r="B10" s="7"/>
      <c r="C10" s="8">
        <v>110184</v>
      </c>
      <c r="D10" s="8">
        <v>111250</v>
      </c>
      <c r="E10" s="8">
        <v>103509</v>
      </c>
      <c r="F10" s="8">
        <v>101634</v>
      </c>
      <c r="G10" s="8">
        <v>97877</v>
      </c>
      <c r="H10" s="8">
        <v>108453</v>
      </c>
    </row>
    <row r="11" spans="1:8" ht="11.25">
      <c r="A11" s="7" t="s">
        <v>11</v>
      </c>
      <c r="B11" s="7"/>
      <c r="C11" s="8">
        <v>10764</v>
      </c>
      <c r="D11" s="8">
        <v>18198</v>
      </c>
      <c r="E11" s="8">
        <v>10750</v>
      </c>
      <c r="F11" s="8">
        <v>11936</v>
      </c>
      <c r="G11" s="8">
        <v>19304</v>
      </c>
      <c r="H11" s="8">
        <v>7481</v>
      </c>
    </row>
    <row r="12" spans="1:8" ht="11.25">
      <c r="A12" s="7" t="s">
        <v>12</v>
      </c>
      <c r="B12" s="7"/>
      <c r="C12" s="8">
        <f aca="true" t="shared" si="0" ref="C12:H12">C13+C14</f>
        <v>26418</v>
      </c>
      <c r="D12" s="8">
        <f t="shared" si="0"/>
        <v>30769</v>
      </c>
      <c r="E12" s="8">
        <f t="shared" si="0"/>
        <v>31298</v>
      </c>
      <c r="F12" s="8">
        <f t="shared" si="0"/>
        <v>33056</v>
      </c>
      <c r="G12" s="8">
        <f t="shared" si="0"/>
        <v>34393</v>
      </c>
      <c r="H12" s="8">
        <f t="shared" si="0"/>
        <v>70327</v>
      </c>
    </row>
    <row r="13" spans="1:8" ht="11.25">
      <c r="A13" s="7"/>
      <c r="B13" s="7" t="s">
        <v>13</v>
      </c>
      <c r="C13" s="8"/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1.25">
      <c r="A14" s="7"/>
      <c r="B14" s="7" t="s">
        <v>14</v>
      </c>
      <c r="C14" s="8">
        <v>26418</v>
      </c>
      <c r="D14" s="8">
        <v>30769</v>
      </c>
      <c r="E14" s="8">
        <v>31298</v>
      </c>
      <c r="F14" s="8">
        <v>33056</v>
      </c>
      <c r="G14" s="8">
        <v>34393</v>
      </c>
      <c r="H14" s="8">
        <v>70327</v>
      </c>
    </row>
    <row r="15" spans="1:8" ht="11.25">
      <c r="A15" s="7" t="s">
        <v>15</v>
      </c>
      <c r="B15" s="7"/>
      <c r="C15" s="8">
        <v>59820</v>
      </c>
      <c r="D15" s="8">
        <v>57869</v>
      </c>
      <c r="E15" s="8">
        <v>57730</v>
      </c>
      <c r="F15" s="8">
        <v>47461</v>
      </c>
      <c r="G15" s="8">
        <v>35614</v>
      </c>
      <c r="H15" s="8">
        <v>57</v>
      </c>
    </row>
    <row r="16" spans="1:8" ht="11.25">
      <c r="A16" s="7" t="s">
        <v>16</v>
      </c>
      <c r="B16" s="7"/>
      <c r="C16" s="8">
        <f aca="true" t="shared" si="1" ref="C16:H16">C17+C21</f>
        <v>98863</v>
      </c>
      <c r="D16" s="8">
        <f t="shared" si="1"/>
        <v>102085</v>
      </c>
      <c r="E16" s="8">
        <f t="shared" si="1"/>
        <v>93969</v>
      </c>
      <c r="F16" s="8">
        <f t="shared" si="1"/>
        <v>89537</v>
      </c>
      <c r="G16" s="8">
        <f t="shared" si="1"/>
        <v>89516</v>
      </c>
      <c r="H16" s="8">
        <f t="shared" si="1"/>
        <v>100761</v>
      </c>
    </row>
    <row r="17" spans="1:8" ht="11.25">
      <c r="A17" s="7"/>
      <c r="B17" s="7" t="s">
        <v>13</v>
      </c>
      <c r="C17" s="8">
        <f aca="true" t="shared" si="2" ref="C17:H17">SUM(C18:C20)</f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</row>
    <row r="18" spans="1:8" ht="11.25">
      <c r="A18" s="7"/>
      <c r="B18" s="7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1.25">
      <c r="A20" s="7"/>
      <c r="B20" s="7" t="s">
        <v>19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1.25">
      <c r="A21" s="7"/>
      <c r="B21" s="7" t="s">
        <v>14</v>
      </c>
      <c r="C21" s="8">
        <f aca="true" t="shared" si="3" ref="C21:H21">SUM(C22:C23)</f>
        <v>98863</v>
      </c>
      <c r="D21" s="8">
        <f t="shared" si="3"/>
        <v>102085</v>
      </c>
      <c r="E21" s="8">
        <f t="shared" si="3"/>
        <v>93969</v>
      </c>
      <c r="F21" s="8">
        <f t="shared" si="3"/>
        <v>89537</v>
      </c>
      <c r="G21" s="8">
        <f t="shared" si="3"/>
        <v>89516</v>
      </c>
      <c r="H21" s="8">
        <f t="shared" si="3"/>
        <v>100761</v>
      </c>
    </row>
    <row r="22" spans="1:8" ht="11.25">
      <c r="A22" s="7"/>
      <c r="B22" s="7" t="s">
        <v>18</v>
      </c>
      <c r="C22" s="8">
        <f>88884+9539</f>
        <v>98423</v>
      </c>
      <c r="D22" s="8">
        <v>101380</v>
      </c>
      <c r="E22" s="8">
        <v>93345</v>
      </c>
      <c r="F22" s="8">
        <v>89440</v>
      </c>
      <c r="G22" s="8">
        <v>88344</v>
      </c>
      <c r="H22" s="8">
        <v>49104</v>
      </c>
    </row>
    <row r="23" spans="1:8" ht="11.25">
      <c r="A23" s="7"/>
      <c r="B23" s="7" t="s">
        <v>19</v>
      </c>
      <c r="C23" s="8">
        <f>385+5+50</f>
        <v>440</v>
      </c>
      <c r="D23" s="8">
        <v>705</v>
      </c>
      <c r="E23" s="8">
        <v>624</v>
      </c>
      <c r="F23" s="8">
        <v>97</v>
      </c>
      <c r="G23" s="8">
        <v>1172</v>
      </c>
      <c r="H23" s="8">
        <v>51657</v>
      </c>
    </row>
    <row r="24" spans="1:8" ht="11.25">
      <c r="A24" s="3" t="s">
        <v>20</v>
      </c>
      <c r="B24" s="3"/>
      <c r="C24" s="9">
        <v>7908</v>
      </c>
      <c r="D24" s="9">
        <v>6116</v>
      </c>
      <c r="E24" s="9">
        <v>6053</v>
      </c>
      <c r="F24" s="9">
        <v>8299</v>
      </c>
      <c r="G24" s="9">
        <v>5782</v>
      </c>
      <c r="H24" s="9">
        <v>9910</v>
      </c>
    </row>
    <row r="25" spans="1:8" ht="11.25">
      <c r="A25" s="5" t="s">
        <v>21</v>
      </c>
      <c r="B25" s="7"/>
      <c r="C25" s="8"/>
      <c r="D25" s="8"/>
      <c r="E25" s="8"/>
      <c r="F25" s="8"/>
      <c r="G25" s="8"/>
      <c r="H25" s="8"/>
    </row>
    <row r="26" spans="1:8" ht="11.25">
      <c r="A26" s="7" t="s">
        <v>10</v>
      </c>
      <c r="B26" s="7"/>
      <c r="C26" s="8">
        <f>+(C10+G10)/2</f>
        <v>104030.5</v>
      </c>
      <c r="D26" s="8">
        <f>+(87483+D10)/2</f>
        <v>99366.5</v>
      </c>
      <c r="E26" s="8">
        <f>+(71490+E10)/2</f>
        <v>87499.5</v>
      </c>
      <c r="F26" s="8">
        <f>+(80543+F10)/2</f>
        <v>91088.5</v>
      </c>
      <c r="G26" s="8">
        <f>(G10+H10)/2</f>
        <v>103165</v>
      </c>
      <c r="H26" s="10" t="s">
        <v>22</v>
      </c>
    </row>
    <row r="27" spans="1:8" ht="11.25">
      <c r="A27" s="7" t="s">
        <v>23</v>
      </c>
      <c r="B27" s="7"/>
      <c r="C27" s="8">
        <f>C28+C29</f>
        <v>78122.5</v>
      </c>
      <c r="D27" s="8">
        <f>D28+D29</f>
        <v>80629</v>
      </c>
      <c r="E27" s="8">
        <f>E28+E29</f>
        <v>78103</v>
      </c>
      <c r="F27" s="8">
        <f>F28+F29</f>
        <v>77948</v>
      </c>
      <c r="G27" s="8">
        <f>G28+G29</f>
        <v>55332.583333333336</v>
      </c>
      <c r="H27" s="10" t="s">
        <v>22</v>
      </c>
    </row>
    <row r="28" spans="1:8" ht="11.25">
      <c r="A28" s="7"/>
      <c r="B28" s="7" t="s">
        <v>12</v>
      </c>
      <c r="C28" s="8">
        <f>+(C12+G12)/2</f>
        <v>30405.5</v>
      </c>
      <c r="D28" s="8">
        <f>+(37025+D12)/2</f>
        <v>33897</v>
      </c>
      <c r="E28" s="8">
        <f>+(29793+E12)/2</f>
        <v>30545.5</v>
      </c>
      <c r="F28" s="8">
        <f>+(39764+F12)/2</f>
        <v>36410</v>
      </c>
      <c r="G28" s="8">
        <f>(G12+H12)/2</f>
        <v>52360</v>
      </c>
      <c r="H28" s="10" t="s">
        <v>22</v>
      </c>
    </row>
    <row r="29" spans="1:8" ht="11.25">
      <c r="A29" s="7"/>
      <c r="B29" s="7" t="s">
        <v>15</v>
      </c>
      <c r="C29" s="8">
        <f>+(C15+G15)/2</f>
        <v>47717</v>
      </c>
      <c r="D29" s="8">
        <f>+(35595+D15)/2</f>
        <v>46732</v>
      </c>
      <c r="E29" s="8">
        <f>+(37385+E15)/2</f>
        <v>47557.5</v>
      </c>
      <c r="F29" s="8">
        <f>+(35615+F15)/2</f>
        <v>41538</v>
      </c>
      <c r="G29" s="8">
        <f>(G15+H15)/12</f>
        <v>2972.5833333333335</v>
      </c>
      <c r="H29" s="10" t="s">
        <v>22</v>
      </c>
    </row>
    <row r="30" spans="1:8" ht="11.25">
      <c r="A30" s="3" t="s">
        <v>20</v>
      </c>
      <c r="B30" s="3"/>
      <c r="C30" s="9">
        <f>+(C24+G24)/2</f>
        <v>6845</v>
      </c>
      <c r="D30" s="9">
        <f>+(6792+D24)/2</f>
        <v>6454</v>
      </c>
      <c r="E30" s="9">
        <f>+(7295+E24)/2</f>
        <v>6674</v>
      </c>
      <c r="F30" s="9">
        <f>+(5916+F24)/2</f>
        <v>7107.5</v>
      </c>
      <c r="G30" s="9">
        <f>(G24+H24)/2</f>
        <v>7846</v>
      </c>
      <c r="H30" s="11" t="s">
        <v>22</v>
      </c>
    </row>
    <row r="31" spans="1:8" ht="11.25">
      <c r="A31" s="5" t="s">
        <v>24</v>
      </c>
      <c r="B31" s="7"/>
      <c r="C31" s="7"/>
      <c r="D31" s="7"/>
      <c r="E31" s="7"/>
      <c r="F31" s="7"/>
      <c r="G31" s="7"/>
      <c r="H31" s="7"/>
    </row>
    <row r="32" spans="1:8" ht="11.25">
      <c r="A32" s="7" t="s">
        <v>25</v>
      </c>
      <c r="B32" s="7"/>
      <c r="C32" s="8">
        <v>6778</v>
      </c>
      <c r="D32" s="8">
        <v>4964</v>
      </c>
      <c r="E32" s="8">
        <v>3193</v>
      </c>
      <c r="F32" s="8">
        <v>1581</v>
      </c>
      <c r="G32" s="8">
        <v>6335</v>
      </c>
      <c r="H32" s="8">
        <v>8828</v>
      </c>
    </row>
    <row r="33" spans="1:8" ht="11.25">
      <c r="A33" s="7" t="s">
        <v>26</v>
      </c>
      <c r="B33" s="7"/>
      <c r="C33" s="8">
        <v>6046</v>
      </c>
      <c r="D33" s="8">
        <v>4386</v>
      </c>
      <c r="E33" s="8">
        <v>2774</v>
      </c>
      <c r="F33" s="8">
        <v>1325</v>
      </c>
      <c r="G33" s="8">
        <v>3890</v>
      </c>
      <c r="H33" s="8">
        <v>4697</v>
      </c>
    </row>
    <row r="34" spans="1:8" ht="11.25">
      <c r="A34" s="7" t="s">
        <v>27</v>
      </c>
      <c r="B34" s="7"/>
      <c r="C34" s="8">
        <f aca="true" t="shared" si="4" ref="C34:H34">C32-C33</f>
        <v>732</v>
      </c>
      <c r="D34" s="8">
        <f t="shared" si="4"/>
        <v>578</v>
      </c>
      <c r="E34" s="8">
        <f t="shared" si="4"/>
        <v>419</v>
      </c>
      <c r="F34" s="8">
        <f t="shared" si="4"/>
        <v>256</v>
      </c>
      <c r="G34" s="8">
        <f t="shared" si="4"/>
        <v>2445</v>
      </c>
      <c r="H34" s="8">
        <f t="shared" si="4"/>
        <v>4131</v>
      </c>
    </row>
    <row r="35" spans="1:8" ht="11.25">
      <c r="A35" s="7" t="s">
        <v>28</v>
      </c>
      <c r="B35" s="7"/>
      <c r="C35" s="8">
        <v>4290</v>
      </c>
      <c r="D35" s="8">
        <v>2419</v>
      </c>
      <c r="E35" s="8">
        <v>2381</v>
      </c>
      <c r="F35" s="8">
        <v>2352</v>
      </c>
      <c r="G35" s="8">
        <v>102</v>
      </c>
      <c r="H35" s="8">
        <v>76</v>
      </c>
    </row>
    <row r="36" spans="1:8" ht="11.25">
      <c r="A36" s="7" t="s">
        <v>29</v>
      </c>
      <c r="B36" s="7"/>
      <c r="C36" s="8">
        <f aca="true" t="shared" si="5" ref="C36:H36">C34+C35</f>
        <v>5022</v>
      </c>
      <c r="D36" s="8">
        <f t="shared" si="5"/>
        <v>2997</v>
      </c>
      <c r="E36" s="8">
        <f t="shared" si="5"/>
        <v>2800</v>
      </c>
      <c r="F36" s="8">
        <f t="shared" si="5"/>
        <v>2608</v>
      </c>
      <c r="G36" s="8">
        <f t="shared" si="5"/>
        <v>2547</v>
      </c>
      <c r="H36" s="8">
        <f t="shared" si="5"/>
        <v>4207</v>
      </c>
    </row>
    <row r="37" spans="1:8" ht="11.25">
      <c r="A37" s="7" t="s">
        <v>30</v>
      </c>
      <c r="B37" s="7"/>
      <c r="C37" s="8">
        <v>256</v>
      </c>
      <c r="D37" s="8">
        <v>126</v>
      </c>
      <c r="E37" s="8">
        <v>85</v>
      </c>
      <c r="F37" s="8">
        <v>44</v>
      </c>
      <c r="G37" s="8">
        <v>398</v>
      </c>
      <c r="H37" s="8">
        <v>281</v>
      </c>
    </row>
    <row r="38" spans="1:8" ht="11.25">
      <c r="A38" s="7" t="s">
        <v>31</v>
      </c>
      <c r="B38" s="7"/>
      <c r="C38" s="8">
        <f aca="true" t="shared" si="6" ref="C38:H38">C36-C37</f>
        <v>4766</v>
      </c>
      <c r="D38" s="8">
        <f t="shared" si="6"/>
        <v>2871</v>
      </c>
      <c r="E38" s="8">
        <f t="shared" si="6"/>
        <v>2715</v>
      </c>
      <c r="F38" s="8">
        <f t="shared" si="6"/>
        <v>2564</v>
      </c>
      <c r="G38" s="8">
        <f t="shared" si="6"/>
        <v>2149</v>
      </c>
      <c r="H38" s="8">
        <f t="shared" si="6"/>
        <v>3926</v>
      </c>
    </row>
    <row r="39" spans="1:8" ht="11.25">
      <c r="A39" s="3" t="s">
        <v>32</v>
      </c>
      <c r="B39" s="3"/>
      <c r="C39" s="9">
        <v>4450</v>
      </c>
      <c r="D39" s="9">
        <v>2654</v>
      </c>
      <c r="E39" s="9">
        <v>2595</v>
      </c>
      <c r="F39" s="9">
        <v>2514</v>
      </c>
      <c r="G39" s="9">
        <v>2069</v>
      </c>
      <c r="H39" s="9">
        <v>3927</v>
      </c>
    </row>
    <row r="40" spans="1:8" ht="11.25">
      <c r="A40" s="5" t="s">
        <v>33</v>
      </c>
      <c r="B40" s="7"/>
      <c r="C40" s="7"/>
      <c r="D40" s="7"/>
      <c r="E40" s="7"/>
      <c r="F40" s="7"/>
      <c r="G40" s="7"/>
      <c r="H40" s="7"/>
    </row>
    <row r="41" spans="1:8" ht="11.25">
      <c r="A41" s="7" t="s">
        <v>34</v>
      </c>
      <c r="B41" s="7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1.25">
      <c r="A42" s="7" t="s">
        <v>35</v>
      </c>
      <c r="B42" s="7"/>
      <c r="C42" s="8">
        <v>1032</v>
      </c>
      <c r="D42" s="8">
        <v>9032</v>
      </c>
      <c r="E42" s="8">
        <v>1032</v>
      </c>
      <c r="F42" s="8">
        <v>1032</v>
      </c>
      <c r="G42" s="8">
        <v>1032</v>
      </c>
      <c r="H42" s="8">
        <v>1032</v>
      </c>
    </row>
    <row r="43" spans="1:8" ht="11.25">
      <c r="A43" s="7" t="s">
        <v>36</v>
      </c>
      <c r="B43" s="7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ht="11.25">
      <c r="A44" s="7" t="s">
        <v>37</v>
      </c>
      <c r="B44" s="7"/>
      <c r="C44" s="12">
        <f aca="true" t="shared" si="7" ref="C44:H44">C42/C12</f>
        <v>0.03906427435839201</v>
      </c>
      <c r="D44" s="12">
        <f t="shared" si="7"/>
        <v>0.29354220156651173</v>
      </c>
      <c r="E44" s="12">
        <f t="shared" si="7"/>
        <v>0.032973352929899676</v>
      </c>
      <c r="F44" s="12">
        <f t="shared" si="7"/>
        <v>0.03121974830590513</v>
      </c>
      <c r="G44" s="12">
        <f t="shared" si="7"/>
        <v>0.03000610589364115</v>
      </c>
      <c r="H44" s="12">
        <f t="shared" si="7"/>
        <v>0.014674307165100174</v>
      </c>
    </row>
    <row r="45" spans="1:8" ht="11.25">
      <c r="A45" s="13" t="s">
        <v>38</v>
      </c>
      <c r="B45" s="7"/>
      <c r="C45" s="12">
        <f aca="true" t="shared" si="8" ref="C45:H45">C42/C12</f>
        <v>0.03906427435839201</v>
      </c>
      <c r="D45" s="12">
        <f t="shared" si="8"/>
        <v>0.29354220156651173</v>
      </c>
      <c r="E45" s="12">
        <f t="shared" si="8"/>
        <v>0.032973352929899676</v>
      </c>
      <c r="F45" s="12">
        <f t="shared" si="8"/>
        <v>0.03121974830590513</v>
      </c>
      <c r="G45" s="12">
        <f t="shared" si="8"/>
        <v>0.03000610589364115</v>
      </c>
      <c r="H45" s="12">
        <f t="shared" si="8"/>
        <v>0.014674307165100174</v>
      </c>
    </row>
    <row r="46" spans="1:8" ht="11.25">
      <c r="A46" s="7" t="s">
        <v>39</v>
      </c>
      <c r="B46" s="7"/>
      <c r="C46" s="12">
        <f>1447/C12</f>
        <v>0.054773260655613595</v>
      </c>
      <c r="D46" s="12">
        <f>1347/D12</f>
        <v>0.0437778283337125</v>
      </c>
      <c r="E46" s="12">
        <f>1250/E12</f>
        <v>0.03993865422710716</v>
      </c>
      <c r="F46" s="12">
        <f>1180/F12</f>
        <v>0.035696999031945786</v>
      </c>
      <c r="G46" s="12">
        <f>1130/G12</f>
        <v>0.03285552292617684</v>
      </c>
      <c r="H46" s="12">
        <f>0/H12</f>
        <v>0</v>
      </c>
    </row>
    <row r="47" spans="1:8" ht="11.25">
      <c r="A47" s="3" t="s">
        <v>40</v>
      </c>
      <c r="B47" s="3"/>
      <c r="C47" s="14">
        <f>1447/C42</f>
        <v>1.4021317829457365</v>
      </c>
      <c r="D47" s="14">
        <f>1347/D42</f>
        <v>0.14913640389725422</v>
      </c>
      <c r="E47" s="14">
        <f>1250/E42</f>
        <v>1.2112403100775193</v>
      </c>
      <c r="F47" s="14">
        <f>1180/F42</f>
        <v>1.1434108527131783</v>
      </c>
      <c r="G47" s="14">
        <f>1130/G42</f>
        <v>1.0949612403100775</v>
      </c>
      <c r="H47" s="14">
        <f>0/H42</f>
        <v>0</v>
      </c>
    </row>
    <row r="48" spans="1:8" ht="11.25">
      <c r="A48" s="5" t="s">
        <v>41</v>
      </c>
      <c r="B48" s="7"/>
      <c r="C48" s="7"/>
      <c r="D48" s="7"/>
      <c r="E48" s="7"/>
      <c r="F48" s="7"/>
      <c r="G48" s="7"/>
      <c r="H48" s="7"/>
    </row>
    <row r="49" spans="1:8" ht="11.25">
      <c r="A49" s="7" t="s">
        <v>42</v>
      </c>
      <c r="B49" s="7"/>
      <c r="C49" s="12">
        <f>+C30/C26</f>
        <v>0.0657980111601886</v>
      </c>
      <c r="D49" s="12">
        <f>+D30/D26</f>
        <v>0.06495146754690967</v>
      </c>
      <c r="E49" s="12">
        <f>+E30/E26</f>
        <v>0.07627472156983754</v>
      </c>
      <c r="F49" s="12">
        <f>+F30/F26</f>
        <v>0.07802851073406632</v>
      </c>
      <c r="G49" s="12">
        <f>+G30/G26</f>
        <v>0.07605292492608927</v>
      </c>
      <c r="H49" s="15" t="s">
        <v>22</v>
      </c>
    </row>
    <row r="50" spans="1:8" ht="11.25">
      <c r="A50" s="3" t="s">
        <v>43</v>
      </c>
      <c r="B50" s="3"/>
      <c r="C50" s="14">
        <f>+C30/C27</f>
        <v>0.08761880380172166</v>
      </c>
      <c r="D50" s="14">
        <f>+D30/D27</f>
        <v>0.08004564114648575</v>
      </c>
      <c r="E50" s="14">
        <f>+E30/E27</f>
        <v>0.08545126307568211</v>
      </c>
      <c r="F50" s="14">
        <f>+F30/F27</f>
        <v>0.09118258326063529</v>
      </c>
      <c r="G50" s="14">
        <f>+G30/G27</f>
        <v>0.14179710267157236</v>
      </c>
      <c r="H50" s="16" t="s">
        <v>22</v>
      </c>
    </row>
    <row r="51" spans="1:8" ht="11.25">
      <c r="A51" s="5" t="s">
        <v>44</v>
      </c>
      <c r="B51" s="7"/>
      <c r="C51" s="7"/>
      <c r="D51" s="7"/>
      <c r="E51" s="7"/>
      <c r="F51" s="7"/>
      <c r="G51" s="7"/>
      <c r="H51" s="7"/>
    </row>
    <row r="52" spans="1:8" ht="11.25">
      <c r="A52" s="7" t="s">
        <v>45</v>
      </c>
      <c r="B52" s="7"/>
      <c r="C52" s="12">
        <f aca="true" t="shared" si="9" ref="C52:H52">C11/C16</f>
        <v>0.10887794220284637</v>
      </c>
      <c r="D52" s="12">
        <f t="shared" si="9"/>
        <v>0.17826321202919135</v>
      </c>
      <c r="E52" s="12">
        <f t="shared" si="9"/>
        <v>0.11439942959912311</v>
      </c>
      <c r="F52" s="12">
        <f t="shared" si="9"/>
        <v>0.13330801791438177</v>
      </c>
      <c r="G52" s="12">
        <f t="shared" si="9"/>
        <v>0.21564859913311588</v>
      </c>
      <c r="H52" s="12">
        <f t="shared" si="9"/>
        <v>0.07424499558360874</v>
      </c>
    </row>
    <row r="53" spans="1:8" ht="11.25">
      <c r="A53" s="7" t="s">
        <v>46</v>
      </c>
      <c r="B53" s="7"/>
      <c r="C53" s="12">
        <f aca="true" t="shared" si="10" ref="C53:H53">C11/C10</f>
        <v>0.09769113482901329</v>
      </c>
      <c r="D53" s="12">
        <f t="shared" si="10"/>
        <v>0.16357752808988765</v>
      </c>
      <c r="E53" s="12">
        <f t="shared" si="10"/>
        <v>0.10385570336878919</v>
      </c>
      <c r="F53" s="12">
        <f t="shared" si="10"/>
        <v>0.11744101383395321</v>
      </c>
      <c r="G53" s="12">
        <f t="shared" si="10"/>
        <v>0.1972271320126281</v>
      </c>
      <c r="H53" s="12">
        <f t="shared" si="10"/>
        <v>0.06897918914184024</v>
      </c>
    </row>
    <row r="54" spans="1:8" ht="11.25">
      <c r="A54" s="3" t="s">
        <v>47</v>
      </c>
      <c r="B54" s="3"/>
      <c r="C54" s="14">
        <f aca="true" t="shared" si="11" ref="C54:H54">(C11+C15)/C16</f>
        <v>0.7139576990380627</v>
      </c>
      <c r="D54" s="14">
        <f t="shared" si="11"/>
        <v>0.7451339569966204</v>
      </c>
      <c r="E54" s="14">
        <f t="shared" si="11"/>
        <v>0.7287509710649257</v>
      </c>
      <c r="F54" s="14">
        <f t="shared" si="11"/>
        <v>0.6633793850586909</v>
      </c>
      <c r="G54" s="14">
        <f t="shared" si="11"/>
        <v>0.6134992627016399</v>
      </c>
      <c r="H54" s="14">
        <f t="shared" si="11"/>
        <v>0.07481069064419765</v>
      </c>
    </row>
    <row r="55" spans="1:8" ht="11.25">
      <c r="A55" s="5" t="s">
        <v>48</v>
      </c>
      <c r="B55" s="7"/>
      <c r="C55" s="7"/>
      <c r="D55" s="7"/>
      <c r="E55" s="7"/>
      <c r="F55" s="7"/>
      <c r="G55" s="7"/>
      <c r="H55" s="7"/>
    </row>
    <row r="56" spans="1:8" ht="11.25">
      <c r="A56" s="7" t="s">
        <v>49</v>
      </c>
      <c r="B56" s="7"/>
      <c r="C56" s="17">
        <f>C39/C27</f>
        <v>0.056961822778328904</v>
      </c>
      <c r="D56" s="17">
        <f>(D39/0.75)/D27</f>
        <v>0.04388826187434628</v>
      </c>
      <c r="E56" s="17">
        <f>(E39/0.5)/E27</f>
        <v>0.06645071252064581</v>
      </c>
      <c r="F56" s="12">
        <f>((F39)/0.25)/F27</f>
        <v>0.12900908297839586</v>
      </c>
      <c r="G56" s="12">
        <f>G39/G27</f>
        <v>0.037392073085327965</v>
      </c>
      <c r="H56" s="15" t="s">
        <v>50</v>
      </c>
    </row>
    <row r="57" spans="1:8" ht="11.25">
      <c r="A57" s="7" t="s">
        <v>51</v>
      </c>
      <c r="B57" s="7"/>
      <c r="C57" s="17">
        <f>C39/C26</f>
        <v>0.04277591667828185</v>
      </c>
      <c r="D57" s="17">
        <f>(D39/0.75)/D26</f>
        <v>0.03561227039964844</v>
      </c>
      <c r="E57" s="17">
        <f>(E39/0.5)/E26</f>
        <v>0.05931462465499803</v>
      </c>
      <c r="F57" s="12">
        <f>((F39)/0.25)/F26</f>
        <v>0.11039812929184255</v>
      </c>
      <c r="G57" s="12">
        <f>G39/G26</f>
        <v>0.020055251296466826</v>
      </c>
      <c r="H57" s="15" t="s">
        <v>22</v>
      </c>
    </row>
    <row r="58" spans="1:8" ht="11.25">
      <c r="A58" s="7" t="s">
        <v>52</v>
      </c>
      <c r="B58" s="7"/>
      <c r="C58" s="17">
        <f>+C39/C30</f>
        <v>0.6501095690284879</v>
      </c>
      <c r="D58" s="17">
        <f>(D39/0.75)/D30</f>
        <v>0.5482904658609647</v>
      </c>
      <c r="E58" s="17">
        <f>(E39/0.5)/E30</f>
        <v>0.7776445909499551</v>
      </c>
      <c r="F58" s="12">
        <f>((F39)/0.25)/F30</f>
        <v>1.4148434752022512</v>
      </c>
      <c r="G58" s="12">
        <f>G39/G30</f>
        <v>0.2637012490440989</v>
      </c>
      <c r="H58" s="15" t="s">
        <v>22</v>
      </c>
    </row>
    <row r="59" spans="1:8" ht="11.25">
      <c r="A59" s="7" t="s">
        <v>53</v>
      </c>
      <c r="B59" s="7"/>
      <c r="C59" s="17">
        <f>C32/C26</f>
        <v>0.06515396926862795</v>
      </c>
      <c r="D59" s="17">
        <f>(D32/0.75)/D26</f>
        <v>0.06660863235262052</v>
      </c>
      <c r="E59" s="17">
        <f>(E32/0.5)/E26</f>
        <v>0.07298327419013823</v>
      </c>
      <c r="F59" s="12">
        <f>((F32)/0.25)/F26</f>
        <v>0.06942698584343797</v>
      </c>
      <c r="G59" s="12">
        <f>G32/G26</f>
        <v>0.061406484757427424</v>
      </c>
      <c r="H59" s="15" t="s">
        <v>22</v>
      </c>
    </row>
    <row r="60" spans="1:8" ht="11.25">
      <c r="A60" s="7" t="s">
        <v>54</v>
      </c>
      <c r="B60" s="7"/>
      <c r="C60" s="17">
        <f>C33/C26</f>
        <v>0.05811757128918923</v>
      </c>
      <c r="D60" s="17">
        <f>(D33/0.75)/D26</f>
        <v>0.058852832695123605</v>
      </c>
      <c r="E60" s="17">
        <f>(E33/0.5)/E26</f>
        <v>0.06340607660615204</v>
      </c>
      <c r="F60" s="12">
        <f>((F33)/0.25)/F26</f>
        <v>0.05818517156391861</v>
      </c>
      <c r="G60" s="12">
        <f>G33/G26</f>
        <v>0.03770658653613144</v>
      </c>
      <c r="H60" s="15" t="s">
        <v>55</v>
      </c>
    </row>
    <row r="61" spans="1:8" ht="11.25">
      <c r="A61" s="7" t="s">
        <v>56</v>
      </c>
      <c r="B61" s="7"/>
      <c r="C61" s="17">
        <f>C34/C26</f>
        <v>0.007036397979438723</v>
      </c>
      <c r="D61" s="17">
        <f>(D34/0.75)/D26</f>
        <v>0.007755799657496909</v>
      </c>
      <c r="E61" s="17">
        <f>(E34/0.5)/E26</f>
        <v>0.009577197583986194</v>
      </c>
      <c r="F61" s="12">
        <f>((F34)/0.25)/F26</f>
        <v>0.011241814279519369</v>
      </c>
      <c r="G61" s="12">
        <f>G34/G26</f>
        <v>0.023699898221295982</v>
      </c>
      <c r="H61" s="15" t="s">
        <v>57</v>
      </c>
    </row>
    <row r="62" spans="1:8" ht="11.25">
      <c r="A62" s="7" t="s">
        <v>58</v>
      </c>
      <c r="B62" s="7"/>
      <c r="C62" s="17">
        <f>C37/C36</f>
        <v>0.050975706889685383</v>
      </c>
      <c r="D62" s="17">
        <f>(D37/0.75)/(D36/0.75)</f>
        <v>0.042042042042042045</v>
      </c>
      <c r="E62" s="17">
        <f>(E37/0.5)/(E36/0.5)</f>
        <v>0.030357142857142857</v>
      </c>
      <c r="F62" s="12">
        <f>(F37/0.25)/(F36/0.25)</f>
        <v>0.01687116564417178</v>
      </c>
      <c r="G62" s="12">
        <f>G37/G36</f>
        <v>0.15626226933647427</v>
      </c>
      <c r="H62" s="12">
        <f>H37/H36</f>
        <v>0.06679343950558593</v>
      </c>
    </row>
    <row r="63" spans="1:8" ht="11.25">
      <c r="A63" s="3" t="s">
        <v>59</v>
      </c>
      <c r="B63" s="3"/>
      <c r="C63" s="18">
        <f>C35/C26</f>
        <v>0.04123790619097284</v>
      </c>
      <c r="D63" s="18">
        <f>(D35/0.75)/D26</f>
        <v>0.032458960850320115</v>
      </c>
      <c r="E63" s="18">
        <f>(E35/0.5)/E26</f>
        <v>0.05442316813238933</v>
      </c>
      <c r="F63" s="14">
        <f>(F35/0.25)/F26</f>
        <v>0.1032841686930842</v>
      </c>
      <c r="G63" s="14">
        <f>G35/G26</f>
        <v>0.0009887074104589736</v>
      </c>
      <c r="H63" s="16" t="s">
        <v>22</v>
      </c>
    </row>
    <row r="64" spans="1:8" ht="11.25">
      <c r="A64" s="5" t="s">
        <v>60</v>
      </c>
      <c r="B64" s="7"/>
      <c r="C64" s="7"/>
      <c r="D64" s="7"/>
      <c r="E64" s="7"/>
      <c r="F64" s="7"/>
      <c r="G64" s="7"/>
      <c r="H64" s="7"/>
    </row>
    <row r="65" spans="1:8" ht="11.25">
      <c r="A65" s="7" t="s">
        <v>71</v>
      </c>
      <c r="B65" s="7"/>
      <c r="C65" s="8">
        <v>32</v>
      </c>
      <c r="D65" s="8">
        <v>31</v>
      </c>
      <c r="E65" s="8">
        <v>33</v>
      </c>
      <c r="F65" s="8">
        <v>33</v>
      </c>
      <c r="G65" s="8">
        <v>32</v>
      </c>
      <c r="H65" s="8">
        <v>31</v>
      </c>
    </row>
    <row r="66" spans="1:8" ht="11.25">
      <c r="A66" s="7" t="s">
        <v>61</v>
      </c>
      <c r="B66" s="7"/>
      <c r="C66" s="8">
        <v>1</v>
      </c>
      <c r="D66" s="8">
        <v>1</v>
      </c>
      <c r="E66" s="8">
        <v>1</v>
      </c>
      <c r="F66" s="8">
        <v>1</v>
      </c>
      <c r="G66" s="8">
        <v>1</v>
      </c>
      <c r="H66" s="8">
        <v>1</v>
      </c>
    </row>
    <row r="67" spans="1:8" ht="11.25">
      <c r="A67" s="7" t="s">
        <v>62</v>
      </c>
      <c r="B67" s="7"/>
      <c r="C67" s="8">
        <f aca="true" t="shared" si="12" ref="C67:H67">C12/C65</f>
        <v>825.5625</v>
      </c>
      <c r="D67" s="8">
        <f t="shared" si="12"/>
        <v>992.5483870967741</v>
      </c>
      <c r="E67" s="8">
        <f t="shared" si="12"/>
        <v>948.4242424242424</v>
      </c>
      <c r="F67" s="8">
        <f t="shared" si="12"/>
        <v>1001.6969696969697</v>
      </c>
      <c r="G67" s="8">
        <f t="shared" si="12"/>
        <v>1074.78125</v>
      </c>
      <c r="H67" s="8">
        <f t="shared" si="12"/>
        <v>2268.6129032258063</v>
      </c>
    </row>
    <row r="68" spans="1:8" ht="11.25">
      <c r="A68" s="7" t="s">
        <v>63</v>
      </c>
      <c r="B68" s="7"/>
      <c r="C68" s="8">
        <f aca="true" t="shared" si="13" ref="C68:H68">+C16/C65</f>
        <v>3089.46875</v>
      </c>
      <c r="D68" s="8">
        <f t="shared" si="13"/>
        <v>3293.064516129032</v>
      </c>
      <c r="E68" s="8">
        <f t="shared" si="13"/>
        <v>2847.5454545454545</v>
      </c>
      <c r="F68" s="8">
        <f t="shared" si="13"/>
        <v>2713.242424242424</v>
      </c>
      <c r="G68" s="8">
        <f t="shared" si="13"/>
        <v>2797.375</v>
      </c>
      <c r="H68" s="8">
        <f t="shared" si="13"/>
        <v>3250.3548387096776</v>
      </c>
    </row>
    <row r="69" spans="1:8" ht="11.25">
      <c r="A69" s="3" t="s">
        <v>64</v>
      </c>
      <c r="B69" s="3"/>
      <c r="C69" s="9">
        <f aca="true" t="shared" si="14" ref="C69:H69">+C39/C65</f>
        <v>139.0625</v>
      </c>
      <c r="D69" s="9">
        <f t="shared" si="14"/>
        <v>85.61290322580645</v>
      </c>
      <c r="E69" s="9">
        <f t="shared" si="14"/>
        <v>78.63636363636364</v>
      </c>
      <c r="F69" s="9">
        <f t="shared" si="14"/>
        <v>76.18181818181819</v>
      </c>
      <c r="G69" s="9">
        <f t="shared" si="14"/>
        <v>64.65625</v>
      </c>
      <c r="H69" s="9">
        <f t="shared" si="14"/>
        <v>126.6774193548387</v>
      </c>
    </row>
    <row r="70" spans="1:8" ht="11.25">
      <c r="A70" s="5" t="s">
        <v>65</v>
      </c>
      <c r="B70" s="7"/>
      <c r="C70" s="7"/>
      <c r="D70" s="7"/>
      <c r="E70" s="7"/>
      <c r="F70" s="7"/>
      <c r="G70" s="7"/>
      <c r="H70" s="7"/>
    </row>
    <row r="71" spans="1:8" ht="11.25">
      <c r="A71" s="7" t="s">
        <v>66</v>
      </c>
      <c r="B71" s="7"/>
      <c r="C71" s="12">
        <f>+(C10/G10)-1</f>
        <v>0.125739448491474</v>
      </c>
      <c r="D71" s="12">
        <f>+(D10/87483)-1</f>
        <v>0.2716756398385971</v>
      </c>
      <c r="E71" s="12">
        <f>+(E10/71490)-1</f>
        <v>0.44788082249265626</v>
      </c>
      <c r="F71" s="12">
        <f>+(F10/80543)-1</f>
        <v>0.2618601244055969</v>
      </c>
      <c r="G71" s="12">
        <f>(G10/H10)-1</f>
        <v>-0.09751689672023822</v>
      </c>
      <c r="H71" s="12">
        <f>SUM(H72:H73)</f>
        <v>0</v>
      </c>
    </row>
    <row r="72" spans="1:8" ht="11.25">
      <c r="A72" s="7" t="s">
        <v>67</v>
      </c>
      <c r="B72" s="7"/>
      <c r="C72" s="12">
        <f>SUM(C73:C74)</f>
        <v>-0.23187857994359318</v>
      </c>
      <c r="D72" s="12">
        <f>SUM(D73:D74)</f>
        <v>-0.16896691424713028</v>
      </c>
      <c r="E72" s="12">
        <f>SUM(E73:E74)</f>
        <v>0.05298926757056832</v>
      </c>
      <c r="F72" s="12">
        <f>SUM(F73:F74)</f>
        <v>-0.16869530228347251</v>
      </c>
      <c r="G72" s="12">
        <f>SUM(G73:G74)</f>
        <v>-0.5109559628592149</v>
      </c>
      <c r="H72" s="12">
        <f>SUM(H73:H74)</f>
        <v>0</v>
      </c>
    </row>
    <row r="73" spans="1:8" ht="11.25">
      <c r="A73" s="7"/>
      <c r="B73" s="7" t="s">
        <v>13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</row>
    <row r="74" spans="1:8" ht="11.25">
      <c r="A74" s="7"/>
      <c r="B74" s="7" t="s">
        <v>14</v>
      </c>
      <c r="C74" s="12">
        <f>+(C14/G14)-1</f>
        <v>-0.23187857994359318</v>
      </c>
      <c r="D74" s="12">
        <f>+(D14/37025)-1</f>
        <v>-0.16896691424713028</v>
      </c>
      <c r="E74" s="12">
        <f>+(E14/29723)-1</f>
        <v>0.05298926757056832</v>
      </c>
      <c r="F74" s="12">
        <f>+(F14/39764)-1</f>
        <v>-0.16869530228347251</v>
      </c>
      <c r="G74" s="12">
        <f>+(G14/H14)-1</f>
        <v>-0.5109559628592149</v>
      </c>
      <c r="H74" s="12">
        <v>0</v>
      </c>
    </row>
    <row r="75" spans="1:8" ht="11.25">
      <c r="A75" s="7" t="s">
        <v>68</v>
      </c>
      <c r="B75" s="7"/>
      <c r="C75" s="12">
        <f aca="true" t="shared" si="15" ref="C75:H75">SUM(C76:C77)</f>
        <v>0.10441708744805389</v>
      </c>
      <c r="D75" s="12">
        <f t="shared" si="15"/>
        <v>0.29447642717658695</v>
      </c>
      <c r="E75" s="12">
        <f t="shared" si="15"/>
        <v>0.5577640369345025</v>
      </c>
      <c r="F75" s="12">
        <f t="shared" si="15"/>
        <v>0.4969488238342836</v>
      </c>
      <c r="G75" s="12" t="e">
        <f t="shared" si="15"/>
        <v>#DIV/0!</v>
      </c>
      <c r="H75" s="12">
        <f t="shared" si="15"/>
        <v>0</v>
      </c>
    </row>
    <row r="76" spans="1:8" ht="11.25">
      <c r="A76" s="7"/>
      <c r="B76" s="7" t="s">
        <v>13</v>
      </c>
      <c r="C76" s="12">
        <v>0</v>
      </c>
      <c r="D76" s="12">
        <v>0</v>
      </c>
      <c r="E76" s="12">
        <v>0</v>
      </c>
      <c r="F76" s="12">
        <v>0</v>
      </c>
      <c r="G76" s="19" t="e">
        <f>+(G17/H17)-1</f>
        <v>#DIV/0!</v>
      </c>
      <c r="H76" s="12">
        <v>0</v>
      </c>
    </row>
    <row r="77" spans="1:8" ht="11.25">
      <c r="A77" s="7"/>
      <c r="B77" s="7" t="s">
        <v>14</v>
      </c>
      <c r="C77" s="12">
        <f>+(C21/G21)-1</f>
        <v>0.10441708744805389</v>
      </c>
      <c r="D77" s="12">
        <f>+(D21/78862)-1</f>
        <v>0.29447642717658695</v>
      </c>
      <c r="E77" s="12">
        <f>+(E21/60323)-1</f>
        <v>0.5577640369345025</v>
      </c>
      <c r="F77" s="12">
        <f>+(F21/59813)-1</f>
        <v>0.4969488238342836</v>
      </c>
      <c r="G77" s="12">
        <v>0</v>
      </c>
      <c r="H77" s="12">
        <v>0</v>
      </c>
    </row>
    <row r="78" spans="1:8" ht="11.25">
      <c r="A78" s="7" t="s">
        <v>20</v>
      </c>
      <c r="B78" s="7"/>
      <c r="C78" s="20">
        <f>+(C24/G24)-1</f>
        <v>0.36769283984780343</v>
      </c>
      <c r="D78" s="20">
        <f>+(D24/6792)-1</f>
        <v>-0.09952885747938756</v>
      </c>
      <c r="E78" s="20">
        <f>+(E24/7295)-1</f>
        <v>-0.17025359835503773</v>
      </c>
      <c r="F78" s="20">
        <f>+(F24/5916)-1</f>
        <v>0.40280594996619334</v>
      </c>
      <c r="G78" s="12">
        <f>+(G24/H24)-1</f>
        <v>-0.41654894046417756</v>
      </c>
      <c r="H78" s="12">
        <v>0</v>
      </c>
    </row>
    <row r="79" spans="1:8" ht="11.25">
      <c r="A79" s="3" t="s">
        <v>69</v>
      </c>
      <c r="B79" s="3"/>
      <c r="C79" s="14">
        <f>+(C39/G39)-1</f>
        <v>1.1507974867085546</v>
      </c>
      <c r="D79" s="14">
        <f>+(D39/2033)-1</f>
        <v>0.30545991146089513</v>
      </c>
      <c r="E79" s="14">
        <f>+(E39/2542)-1</f>
        <v>0.020849724626278432</v>
      </c>
      <c r="F79" s="14">
        <f>+(F39/524)-1</f>
        <v>3.7977099236641223</v>
      </c>
      <c r="G79" s="14">
        <f>+(G39/H39)-1</f>
        <v>-0.4731347084288261</v>
      </c>
      <c r="H79" s="12">
        <v>0</v>
      </c>
    </row>
    <row r="80" spans="1:8" ht="11.25">
      <c r="A80" s="7" t="s">
        <v>70</v>
      </c>
      <c r="B80" s="7"/>
      <c r="C80" s="7"/>
      <c r="D80" s="7"/>
      <c r="E80" s="7"/>
      <c r="F80" s="7"/>
      <c r="G80" s="7"/>
      <c r="H80" s="7"/>
    </row>
    <row r="81" spans="1:8" ht="11.25">
      <c r="A81" s="7"/>
      <c r="B81" s="7"/>
      <c r="C81" s="7"/>
      <c r="D81" s="7"/>
      <c r="E81" s="7"/>
      <c r="F81" s="7"/>
      <c r="G81" s="7"/>
      <c r="H81" s="7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  <row r="92" spans="1:8" ht="9">
      <c r="A92" s="2"/>
      <c r="B92" s="2"/>
      <c r="C92" s="2"/>
      <c r="D92" s="2"/>
      <c r="E92" s="2"/>
      <c r="F92" s="2"/>
      <c r="G92" s="2"/>
      <c r="H92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2002-05-02T20:55:21Z</cp:lastPrinted>
  <dcterms:created xsi:type="dcterms:W3CDTF">2002-03-08T15:34:26Z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