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e Crédito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<sst xmlns="http://schemas.openxmlformats.org/spreadsheetml/2006/main" count="103" uniqueCount="70">
  <si>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CUADRO No. 19-3    BANCO DE CREDITO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</si>
  <si>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</si>
  <si>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</si>
  <si>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</si>
  <si>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</si>
  <si>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</si>
  <si>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</si>
  <si>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</si>
  <si>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</si>
  <si>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</si>
  <si>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</si>
  <si>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</si>
  <si>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</si>
  <si>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</si>
  <si>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</si>
  <si>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</si>
  <si>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</si>
  <si>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</si>
  <si>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</si>
  <si>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</si>
  <si>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</si>
  <si>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</si>
  <si>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</si>
  <si>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</si>
  <si>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</si>
  <si>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</si>
  <si>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</si>
  <si>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</si>
  <si>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</si>
  <si>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</si>
  <si>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</si>
  <si>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</si>
  <si>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</si>
  <si>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</si>
  <si>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</si>
  <si>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</si>
  <si>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</si>
  <si>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</si>
  <si>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</si>
  <si>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</si>
  <si>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</si>
  <si>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</si>
  <si>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</si>
  <si>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N/A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</si>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</sst>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79" fontId="4" fillId="0" borderId="0" xfId="15" applyNumberFormat="1" applyFont="1" applyAlignment="1">
      <alignment horizontal="right"/>
    </xf>
    <xf numFmtId="179" fontId="4" fillId="0" borderId="1" xfId="15" applyNumberFormat="1" applyFont="1" applyBorder="1" applyAlignment="1">
      <alignment horizontal="right"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0" fontId="4" fillId="0" borderId="0" xfId="19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421875" style="1" customWidth="1"/>
    <col min="2" max="2" width="33.28125" style="1" customWidth="1"/>
    <col min="3" max="3" width="11.421875" style="1" customWidth="1"/>
    <col min="4" max="4" width="9.8515625" style="1" customWidth="1"/>
    <col min="5" max="5" width="10.140625" style="1" customWidth="1"/>
    <col min="6" max="6" width="9.57421875" style="1" customWidth="1"/>
    <col min="7" max="7" width="11.28125" style="1" customWidth="1"/>
    <col min="8" max="16384" width="11.421875" style="1" customWidth="1"/>
  </cols>
  <sheetData>
    <row r="1" spans="2:8" ht="11.25">
      <c r="B1" s="22"/>
      <c r="C1" s="22"/>
      <c r="D1" s="22"/>
      <c r="E1" s="22"/>
      <c r="F1" s="22"/>
      <c r="G1" s="22"/>
      <c r="H1" s="22"/>
    </row>
    <row r="2" spans="2:8" ht="11.25">
      <c r="B2" s="22"/>
      <c r="C2" s="22"/>
      <c r="D2" s="22"/>
      <c r="E2" s="22"/>
      <c r="F2" s="22" t="s">
        <v>0</v>
      </c>
      <c r="G2" s="22"/>
      <c r="H2" s="22"/>
    </row>
    <row r="3" spans="2:8" ht="11.25">
      <c r="B3" s="23"/>
      <c r="C3" s="23"/>
      <c r="D3" s="23"/>
      <c r="E3" s="23"/>
      <c r="F3" s="22" t="s">
        <v>1</v>
      </c>
      <c r="G3" s="23"/>
      <c r="H3" s="23"/>
    </row>
    <row r="4" spans="1:8" ht="11.25">
      <c r="A4" s="23"/>
      <c r="B4" s="23"/>
      <c r="C4" s="23"/>
      <c r="D4" s="23"/>
      <c r="E4" s="23"/>
      <c r="F4" s="23" t="s">
        <v>2</v>
      </c>
      <c r="G4" s="23"/>
      <c r="H4" s="23"/>
    </row>
    <row r="5" spans="1:8" ht="11.25">
      <c r="A5" s="23"/>
      <c r="B5" s="23"/>
      <c r="C5" s="23"/>
      <c r="D5" s="23"/>
      <c r="E5" s="23"/>
      <c r="F5" s="23"/>
      <c r="G5" s="23"/>
      <c r="H5" s="23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39599</v>
      </c>
      <c r="D9" s="8">
        <v>38882</v>
      </c>
      <c r="E9" s="8">
        <v>36144</v>
      </c>
      <c r="F9" s="8">
        <v>45765</v>
      </c>
      <c r="G9" s="8">
        <v>29227</v>
      </c>
      <c r="H9" s="8">
        <v>10590</v>
      </c>
    </row>
    <row r="10" spans="1:8" ht="11.25">
      <c r="A10" s="7" t="s">
        <v>11</v>
      </c>
      <c r="B10" s="7"/>
      <c r="C10" s="8">
        <v>28499</v>
      </c>
      <c r="D10" s="8">
        <v>20813</v>
      </c>
      <c r="E10" s="8">
        <v>19473</v>
      </c>
      <c r="F10" s="8">
        <v>17797</v>
      </c>
      <c r="G10" s="8">
        <v>1753</v>
      </c>
      <c r="H10" s="8">
        <v>7278</v>
      </c>
    </row>
    <row r="11" spans="1:8" ht="11.25">
      <c r="A11" s="7" t="s">
        <v>12</v>
      </c>
      <c r="B11" s="7"/>
      <c r="C11" s="8">
        <f aca="true" t="shared" si="0" ref="C11:H11">C12+C13</f>
        <v>9541</v>
      </c>
      <c r="D11" s="8">
        <f t="shared" si="0"/>
        <v>16639</v>
      </c>
      <c r="E11" s="8">
        <f t="shared" si="0"/>
        <v>15299</v>
      </c>
      <c r="F11" s="8">
        <f t="shared" si="0"/>
        <v>26617</v>
      </c>
      <c r="G11" s="8">
        <f t="shared" si="0"/>
        <v>26106</v>
      </c>
      <c r="H11" s="8">
        <f t="shared" si="0"/>
        <v>1980</v>
      </c>
    </row>
    <row r="12" spans="1:8" ht="11.25">
      <c r="A12" s="7"/>
      <c r="B12" s="7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9541</v>
      </c>
      <c r="D13" s="8">
        <v>16639</v>
      </c>
      <c r="E13" s="8">
        <v>15299</v>
      </c>
      <c r="F13" s="8">
        <v>26617</v>
      </c>
      <c r="G13" s="8">
        <v>26106</v>
      </c>
      <c r="H13" s="8">
        <v>1980</v>
      </c>
    </row>
    <row r="14" spans="1:8" ht="11.25">
      <c r="A14" s="7" t="s">
        <v>15</v>
      </c>
      <c r="B14" s="7"/>
      <c r="C14" s="8"/>
      <c r="D14" s="8"/>
      <c r="E14" s="8"/>
      <c r="F14" s="8"/>
      <c r="G14" s="8">
        <v>0</v>
      </c>
      <c r="H14" s="8">
        <v>0</v>
      </c>
    </row>
    <row r="15" spans="1:8" ht="11.25">
      <c r="A15" s="7" t="s">
        <v>16</v>
      </c>
      <c r="B15" s="7"/>
      <c r="C15" s="8">
        <f aca="true" t="shared" si="1" ref="C15:H15">C16+C20</f>
        <v>35594</v>
      </c>
      <c r="D15" s="8">
        <f t="shared" si="1"/>
        <v>34603</v>
      </c>
      <c r="E15" s="8">
        <f t="shared" si="1"/>
        <v>29716</v>
      </c>
      <c r="F15" s="8">
        <f t="shared" si="1"/>
        <v>38080</v>
      </c>
      <c r="G15" s="8">
        <f t="shared" si="1"/>
        <v>24935</v>
      </c>
      <c r="H15" s="8">
        <f t="shared" si="1"/>
        <v>7361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35594</v>
      </c>
      <c r="D20" s="8">
        <f t="shared" si="3"/>
        <v>34603</v>
      </c>
      <c r="E20" s="8">
        <f t="shared" si="3"/>
        <v>29716</v>
      </c>
      <c r="F20" s="8">
        <f t="shared" si="3"/>
        <v>38080</v>
      </c>
      <c r="G20" s="8">
        <f t="shared" si="3"/>
        <v>24935</v>
      </c>
      <c r="H20" s="8">
        <f t="shared" si="3"/>
        <v>7361</v>
      </c>
    </row>
    <row r="21" spans="1:8" ht="11.25">
      <c r="A21" s="7"/>
      <c r="B21" s="7" t="s">
        <v>18</v>
      </c>
      <c r="C21" s="8">
        <f>5692+28647</f>
        <v>34339</v>
      </c>
      <c r="D21" s="8">
        <v>34012</v>
      </c>
      <c r="E21" s="8">
        <v>29456</v>
      </c>
      <c r="F21" s="8">
        <v>37407</v>
      </c>
      <c r="G21" s="8">
        <v>19864</v>
      </c>
      <c r="H21" s="8">
        <v>5114</v>
      </c>
    </row>
    <row r="22" spans="1:8" ht="11.25">
      <c r="A22" s="7"/>
      <c r="B22" s="7" t="s">
        <v>19</v>
      </c>
      <c r="C22" s="8">
        <v>1255</v>
      </c>
      <c r="D22" s="8">
        <v>591</v>
      </c>
      <c r="E22" s="8">
        <v>260</v>
      </c>
      <c r="F22" s="8">
        <v>673</v>
      </c>
      <c r="G22" s="8">
        <v>5071</v>
      </c>
      <c r="H22" s="8">
        <v>2247</v>
      </c>
    </row>
    <row r="23" spans="1:8" ht="11.25">
      <c r="A23" s="3" t="s">
        <v>20</v>
      </c>
      <c r="B23" s="3"/>
      <c r="C23" s="9">
        <v>3139</v>
      </c>
      <c r="D23" s="9">
        <v>3118</v>
      </c>
      <c r="E23" s="9">
        <v>3072</v>
      </c>
      <c r="F23" s="9">
        <v>2991</v>
      </c>
      <c r="G23" s="9">
        <v>2936</v>
      </c>
      <c r="H23" s="9">
        <v>2930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34413</v>
      </c>
      <c r="D25" s="8">
        <f>+(22642+D9)/2</f>
        <v>30762</v>
      </c>
      <c r="E25" s="8">
        <f>+(15062+E9)/2</f>
        <v>25603</v>
      </c>
      <c r="F25" s="8">
        <f>+(11812+F9)/2</f>
        <v>28788.5</v>
      </c>
      <c r="G25" s="8">
        <f>(G9+H9)/2</f>
        <v>19908.5</v>
      </c>
      <c r="H25" s="10" t="s">
        <v>22</v>
      </c>
    </row>
    <row r="26" spans="1:8" ht="11.25">
      <c r="A26" s="7" t="s">
        <v>23</v>
      </c>
      <c r="B26" s="7"/>
      <c r="C26" s="8">
        <f>C27+C28</f>
        <v>17823.5</v>
      </c>
      <c r="D26" s="8">
        <f>D27+D28</f>
        <v>14000.5</v>
      </c>
      <c r="E26" s="8">
        <f>E27+E28</f>
        <v>11922</v>
      </c>
      <c r="F26" s="8">
        <f>F27+F28</f>
        <v>15721.5</v>
      </c>
      <c r="G26" s="8">
        <f>G27+G28</f>
        <v>14043</v>
      </c>
      <c r="H26" s="10" t="s">
        <v>22</v>
      </c>
    </row>
    <row r="27" spans="1:8" ht="11.25">
      <c r="A27" s="7"/>
      <c r="B27" s="7" t="s">
        <v>12</v>
      </c>
      <c r="C27" s="8">
        <f>+(C11+G11)/2</f>
        <v>17823.5</v>
      </c>
      <c r="D27" s="8">
        <f>+(11362+D11)/2</f>
        <v>14000.5</v>
      </c>
      <c r="E27" s="8">
        <f>+(8545+E11)/2</f>
        <v>11922</v>
      </c>
      <c r="F27" s="8">
        <f>+(4826+F11)/2</f>
        <v>15721.5</v>
      </c>
      <c r="G27" s="8">
        <f>(G11+H11)/2</f>
        <v>14043</v>
      </c>
      <c r="H27" s="10" t="s">
        <v>22</v>
      </c>
    </row>
    <row r="28" spans="1:8" ht="11.25">
      <c r="A28" s="7"/>
      <c r="B28" s="7" t="s">
        <v>15</v>
      </c>
      <c r="C28" s="8">
        <f>(C14+G14)/2</f>
        <v>0</v>
      </c>
      <c r="D28" s="8">
        <v>0</v>
      </c>
      <c r="E28" s="8">
        <v>0</v>
      </c>
      <c r="F28" s="8">
        <v>0</v>
      </c>
      <c r="G28" s="8">
        <f>(G14+H14)/2</f>
        <v>0</v>
      </c>
      <c r="H28" s="10" t="s">
        <v>22</v>
      </c>
    </row>
    <row r="29" spans="1:8" ht="11.25">
      <c r="A29" s="3" t="s">
        <v>20</v>
      </c>
      <c r="B29" s="3"/>
      <c r="C29" s="9">
        <f>+(C23+G23)/2</f>
        <v>3037.5</v>
      </c>
      <c r="D29" s="9">
        <f>+(2894+D23)/2</f>
        <v>3006</v>
      </c>
      <c r="E29" s="9">
        <f>+(2885+E23)/2</f>
        <v>2978.5</v>
      </c>
      <c r="F29" s="9">
        <f>+(2907+F23)/2</f>
        <v>2949</v>
      </c>
      <c r="G29" s="9">
        <f>(G23+H23)/2</f>
        <v>2933</v>
      </c>
      <c r="H29" s="11" t="s">
        <v>22</v>
      </c>
    </row>
    <row r="30" spans="1:8" ht="11.25">
      <c r="A30" s="5" t="s">
        <v>24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25</v>
      </c>
      <c r="B31" s="7"/>
      <c r="C31" s="8">
        <v>2648</v>
      </c>
      <c r="D31" s="8">
        <v>1941</v>
      </c>
      <c r="E31" s="8">
        <v>1250</v>
      </c>
      <c r="F31" s="8">
        <v>560</v>
      </c>
      <c r="G31" s="8">
        <v>1162</v>
      </c>
      <c r="H31" s="8">
        <v>227</v>
      </c>
    </row>
    <row r="32" spans="1:8" ht="11.25">
      <c r="A32" s="7" t="s">
        <v>26</v>
      </c>
      <c r="B32" s="7"/>
      <c r="C32" s="8">
        <v>1851</v>
      </c>
      <c r="D32" s="8">
        <v>1356</v>
      </c>
      <c r="E32" s="8">
        <v>876</v>
      </c>
      <c r="F32" s="8">
        <v>400</v>
      </c>
      <c r="G32" s="8">
        <v>745</v>
      </c>
      <c r="H32" s="8">
        <v>52</v>
      </c>
    </row>
    <row r="33" spans="1:8" ht="11.25">
      <c r="A33" s="7" t="s">
        <v>27</v>
      </c>
      <c r="B33" s="7"/>
      <c r="C33" s="8">
        <f aca="true" t="shared" si="4" ref="C33:H33">C31-C32</f>
        <v>797</v>
      </c>
      <c r="D33" s="8">
        <f t="shared" si="4"/>
        <v>585</v>
      </c>
      <c r="E33" s="8">
        <f t="shared" si="4"/>
        <v>374</v>
      </c>
      <c r="F33" s="8">
        <f t="shared" si="4"/>
        <v>160</v>
      </c>
      <c r="G33" s="8">
        <f t="shared" si="4"/>
        <v>417</v>
      </c>
      <c r="H33" s="8">
        <f t="shared" si="4"/>
        <v>175</v>
      </c>
    </row>
    <row r="34" spans="1:8" ht="11.25">
      <c r="A34" s="7" t="s">
        <v>28</v>
      </c>
      <c r="B34" s="7"/>
      <c r="C34" s="8">
        <v>73</v>
      </c>
      <c r="D34" s="8">
        <v>48</v>
      </c>
      <c r="E34" s="8">
        <v>32</v>
      </c>
      <c r="F34" s="8">
        <v>18</v>
      </c>
      <c r="G34" s="8">
        <v>46</v>
      </c>
      <c r="H34" s="8">
        <v>15</v>
      </c>
    </row>
    <row r="35" spans="1:8" ht="11.25">
      <c r="A35" s="7" t="s">
        <v>29</v>
      </c>
      <c r="B35" s="7"/>
      <c r="C35" s="8">
        <f aca="true" t="shared" si="5" ref="C35:H35">C33+C34</f>
        <v>870</v>
      </c>
      <c r="D35" s="8">
        <f t="shared" si="5"/>
        <v>633</v>
      </c>
      <c r="E35" s="8">
        <f t="shared" si="5"/>
        <v>406</v>
      </c>
      <c r="F35" s="8">
        <f t="shared" si="5"/>
        <v>178</v>
      </c>
      <c r="G35" s="8">
        <f t="shared" si="5"/>
        <v>463</v>
      </c>
      <c r="H35" s="8">
        <f t="shared" si="5"/>
        <v>190</v>
      </c>
    </row>
    <row r="36" spans="1:8" ht="11.25">
      <c r="A36" s="7" t="s">
        <v>30</v>
      </c>
      <c r="B36" s="7"/>
      <c r="C36" s="8">
        <v>544</v>
      </c>
      <c r="D36" s="8">
        <v>402</v>
      </c>
      <c r="E36" s="8">
        <v>250</v>
      </c>
      <c r="F36" s="8">
        <v>123</v>
      </c>
      <c r="G36" s="8">
        <v>461</v>
      </c>
      <c r="H36" s="8">
        <v>260</v>
      </c>
    </row>
    <row r="37" spans="1:8" ht="11.25">
      <c r="A37" s="7" t="s">
        <v>31</v>
      </c>
      <c r="B37" s="7"/>
      <c r="C37" s="8">
        <f aca="true" t="shared" si="6" ref="C37:H37">C35-C36</f>
        <v>326</v>
      </c>
      <c r="D37" s="8">
        <f t="shared" si="6"/>
        <v>231</v>
      </c>
      <c r="E37" s="8">
        <f t="shared" si="6"/>
        <v>156</v>
      </c>
      <c r="F37" s="8">
        <f t="shared" si="6"/>
        <v>55</v>
      </c>
      <c r="G37" s="8">
        <f t="shared" si="6"/>
        <v>2</v>
      </c>
      <c r="H37" s="8">
        <f t="shared" si="6"/>
        <v>-70</v>
      </c>
    </row>
    <row r="38" spans="1:8" ht="11.25">
      <c r="A38" s="3" t="s">
        <v>32</v>
      </c>
      <c r="B38" s="3"/>
      <c r="C38" s="9">
        <v>201</v>
      </c>
      <c r="D38" s="9">
        <v>181</v>
      </c>
      <c r="E38" s="9">
        <v>136</v>
      </c>
      <c r="F38" s="9">
        <v>55</v>
      </c>
      <c r="G38" s="9">
        <v>2</v>
      </c>
      <c r="H38" s="9">
        <v>70</v>
      </c>
    </row>
    <row r="39" spans="1:8" ht="11.25">
      <c r="A39" s="5" t="s">
        <v>33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34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35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36</v>
      </c>
      <c r="B42" s="7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ht="11.25">
      <c r="A43" s="7" t="s">
        <v>37</v>
      </c>
      <c r="B43" s="7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ht="11.25">
      <c r="A44" s="13" t="s">
        <v>38</v>
      </c>
      <c r="B44" s="7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11.25">
      <c r="A45" s="7" t="s">
        <v>39</v>
      </c>
      <c r="B45" s="7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ht="11.25">
      <c r="A46" s="3" t="s">
        <v>40</v>
      </c>
      <c r="B46" s="3"/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ht="11.25">
      <c r="A47" s="5" t="s">
        <v>41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42</v>
      </c>
      <c r="B48" s="7"/>
      <c r="C48" s="12">
        <f>+C29/C25</f>
        <v>0.08826606224391945</v>
      </c>
      <c r="D48" s="12">
        <f>+D29/D25</f>
        <v>0.09771796372147455</v>
      </c>
      <c r="E48" s="12">
        <f>+E29/E25</f>
        <v>0.1163340233566379</v>
      </c>
      <c r="F48" s="12">
        <f>+F29/F25</f>
        <v>0.10243673689146708</v>
      </c>
      <c r="G48" s="12">
        <f>+G29/G25</f>
        <v>0.147324007333551</v>
      </c>
      <c r="H48" s="15" t="s">
        <v>43</v>
      </c>
    </row>
    <row r="49" spans="1:8" ht="11.25">
      <c r="A49" s="3" t="s">
        <v>44</v>
      </c>
      <c r="B49" s="3"/>
      <c r="C49" s="14">
        <f>+C29/C26</f>
        <v>0.17042107330210116</v>
      </c>
      <c r="D49" s="14">
        <f>+D29/D26</f>
        <v>0.21470661762079926</v>
      </c>
      <c r="E49" s="14">
        <f>+E29/E26</f>
        <v>0.24983224291226305</v>
      </c>
      <c r="F49" s="14">
        <f>+F29/F26</f>
        <v>0.18757752122889038</v>
      </c>
      <c r="G49" s="14">
        <f>+G29/G26</f>
        <v>0.2088585060172328</v>
      </c>
      <c r="H49" s="16" t="s">
        <v>43</v>
      </c>
    </row>
    <row r="50" spans="1:8" ht="11.25">
      <c r="A50" s="5" t="s">
        <v>45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46</v>
      </c>
      <c r="B51" s="7"/>
      <c r="C51" s="12">
        <f aca="true" t="shared" si="7" ref="C51:H51">C10/C15</f>
        <v>0.8006686520200034</v>
      </c>
      <c r="D51" s="12">
        <f t="shared" si="7"/>
        <v>0.6014796404935988</v>
      </c>
      <c r="E51" s="12">
        <f t="shared" si="7"/>
        <v>0.6553035401803742</v>
      </c>
      <c r="F51" s="12">
        <f t="shared" si="7"/>
        <v>0.46735819327731093</v>
      </c>
      <c r="G51" s="12">
        <f t="shared" si="7"/>
        <v>0.07030278724684179</v>
      </c>
      <c r="H51" s="12">
        <f t="shared" si="7"/>
        <v>0.9887243581035186</v>
      </c>
    </row>
    <row r="52" spans="1:8" ht="11.25">
      <c r="A52" s="7" t="s">
        <v>47</v>
      </c>
      <c r="B52" s="7"/>
      <c r="C52" s="12">
        <f aca="true" t="shared" si="8" ref="C52:H52">C10/C9</f>
        <v>0.7196898911588676</v>
      </c>
      <c r="D52" s="12">
        <f t="shared" si="8"/>
        <v>0.5352862507072681</v>
      </c>
      <c r="E52" s="12">
        <f t="shared" si="8"/>
        <v>0.538761620185923</v>
      </c>
      <c r="F52" s="12">
        <f t="shared" si="8"/>
        <v>0.3888779635092319</v>
      </c>
      <c r="G52" s="12">
        <f t="shared" si="8"/>
        <v>0.059978786738289935</v>
      </c>
      <c r="H52" s="12">
        <f t="shared" si="8"/>
        <v>0.6872521246458924</v>
      </c>
    </row>
    <row r="53" spans="1:8" ht="11.25">
      <c r="A53" s="3" t="s">
        <v>48</v>
      </c>
      <c r="B53" s="3"/>
      <c r="C53" s="14">
        <f aca="true" t="shared" si="9" ref="C53:H53">(C10+C14)/C15</f>
        <v>0.8006686520200034</v>
      </c>
      <c r="D53" s="14">
        <f t="shared" si="9"/>
        <v>0.6014796404935988</v>
      </c>
      <c r="E53" s="14">
        <f t="shared" si="9"/>
        <v>0.6553035401803742</v>
      </c>
      <c r="F53" s="14">
        <f t="shared" si="9"/>
        <v>0.46735819327731093</v>
      </c>
      <c r="G53" s="14">
        <f t="shared" si="9"/>
        <v>0.07030278724684179</v>
      </c>
      <c r="H53" s="14">
        <f t="shared" si="9"/>
        <v>0.9887243581035186</v>
      </c>
    </row>
    <row r="54" spans="1:8" ht="11.25">
      <c r="A54" s="5" t="s">
        <v>49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50</v>
      </c>
      <c r="B55" s="7"/>
      <c r="C55" s="17">
        <f>C38/C26</f>
        <v>0.011277246332089657</v>
      </c>
      <c r="D55" s="17">
        <f>(D38/0.75)/D26</f>
        <v>0.017237479613823315</v>
      </c>
      <c r="E55" s="17">
        <f>(E38/0.5)/E26</f>
        <v>0.022814963932226137</v>
      </c>
      <c r="F55" s="12">
        <f>((F38)/0.25)/F26</f>
        <v>0.013993575676621187</v>
      </c>
      <c r="G55" s="12">
        <f>G38/G26</f>
        <v>0.0001424197108879869</v>
      </c>
      <c r="H55" s="15" t="s">
        <v>43</v>
      </c>
    </row>
    <row r="56" spans="1:8" ht="11.25">
      <c r="A56" s="7" t="s">
        <v>51</v>
      </c>
      <c r="B56" s="7"/>
      <c r="C56" s="17">
        <f>C38/C25</f>
        <v>0.0058408159707087435</v>
      </c>
      <c r="D56" s="17">
        <f>(D38/0.75)/D25</f>
        <v>0.007845176949916564</v>
      </c>
      <c r="E56" s="17">
        <f>(E38/0.5)/E25</f>
        <v>0.010623755028707573</v>
      </c>
      <c r="F56" s="12">
        <f>((F38)/0.25)/F25</f>
        <v>0.007641940358129114</v>
      </c>
      <c r="G56" s="12">
        <f>G38/G25</f>
        <v>0.0001004596026822714</v>
      </c>
      <c r="H56" s="15" t="s">
        <v>43</v>
      </c>
    </row>
    <row r="57" spans="1:8" ht="11.25">
      <c r="A57" s="7" t="s">
        <v>52</v>
      </c>
      <c r="B57" s="7"/>
      <c r="C57" s="17">
        <f>+C38/C29</f>
        <v>0.06617283950617284</v>
      </c>
      <c r="D57" s="17">
        <f>(D38/0.75)/D29</f>
        <v>0.08028387669106232</v>
      </c>
      <c r="E57" s="17">
        <f>(E38/0.5)/E29</f>
        <v>0.09132113479939567</v>
      </c>
      <c r="F57" s="12">
        <f>((F38)/0.25)/F29</f>
        <v>0.07460155985079688</v>
      </c>
      <c r="G57" s="12">
        <f>G38/G29</f>
        <v>0.0006818956699624957</v>
      </c>
      <c r="H57" s="15" t="s">
        <v>43</v>
      </c>
    </row>
    <row r="58" spans="1:8" ht="11.25">
      <c r="A58" s="7" t="s">
        <v>53</v>
      </c>
      <c r="B58" s="7"/>
      <c r="C58" s="17">
        <f>C31/C25</f>
        <v>0.07694766512655102</v>
      </c>
      <c r="D58" s="17">
        <f>(D31/0.75)/D25</f>
        <v>0.08412977049606657</v>
      </c>
      <c r="E58" s="17">
        <f>(E31/0.5)/E25</f>
        <v>0.09764480724915049</v>
      </c>
      <c r="F58" s="12">
        <f>((F31)/0.25)/F25</f>
        <v>0.07780884728276916</v>
      </c>
      <c r="G58" s="12">
        <f>G31/G25</f>
        <v>0.058367029158399676</v>
      </c>
      <c r="H58" s="15" t="s">
        <v>43</v>
      </c>
    </row>
    <row r="59" spans="1:8" ht="11.25">
      <c r="A59" s="7" t="s">
        <v>54</v>
      </c>
      <c r="B59" s="7"/>
      <c r="C59" s="17">
        <f>C32/C25</f>
        <v>0.05378781274518351</v>
      </c>
      <c r="D59" s="17">
        <f>(D32/0.75)/D25</f>
        <v>0.05877381184578376</v>
      </c>
      <c r="E59" s="17">
        <f>(E32/0.5)/E25</f>
        <v>0.06842948092020466</v>
      </c>
      <c r="F59" s="12">
        <f>((F32)/0.25)/F25</f>
        <v>0.05557774805912083</v>
      </c>
      <c r="G59" s="12">
        <f>G32/G25</f>
        <v>0.03742120199914609</v>
      </c>
      <c r="H59" s="15" t="s">
        <v>43</v>
      </c>
    </row>
    <row r="60" spans="1:8" ht="11.25">
      <c r="A60" s="7" t="s">
        <v>55</v>
      </c>
      <c r="B60" s="7"/>
      <c r="C60" s="17">
        <f>C33/C25</f>
        <v>0.023159852381367505</v>
      </c>
      <c r="D60" s="17">
        <f>(D33/0.75)/D25</f>
        <v>0.025355958650282815</v>
      </c>
      <c r="E60" s="17">
        <f>(E33/0.5)/E25</f>
        <v>0.029215326328945825</v>
      </c>
      <c r="F60" s="12">
        <f>((F33)/0.25)/F25</f>
        <v>0.022231099223648333</v>
      </c>
      <c r="G60" s="12">
        <f>G33/G25</f>
        <v>0.020945827159253586</v>
      </c>
      <c r="H60" s="15" t="s">
        <v>43</v>
      </c>
    </row>
    <row r="61" spans="1:8" ht="11.25">
      <c r="A61" s="7" t="s">
        <v>56</v>
      </c>
      <c r="B61" s="7"/>
      <c r="C61" s="17">
        <f>C36/C35</f>
        <v>0.6252873563218391</v>
      </c>
      <c r="D61" s="17">
        <f>(D36/0.75)/(D35/0.75)</f>
        <v>0.6350710900473934</v>
      </c>
      <c r="E61" s="17">
        <f>(E36/0.5)/(E35/0.5)</f>
        <v>0.6157635467980296</v>
      </c>
      <c r="F61" s="12">
        <f>(F36/0.25)/(F35/0.25)</f>
        <v>0.6910112359550562</v>
      </c>
      <c r="G61" s="12">
        <f>G36/G35</f>
        <v>0.9956803455723542</v>
      </c>
      <c r="H61" s="15">
        <f>H36/H35</f>
        <v>1.368421052631579</v>
      </c>
    </row>
    <row r="62" spans="1:8" ht="11.25">
      <c r="A62" s="3" t="s">
        <v>57</v>
      </c>
      <c r="B62" s="3"/>
      <c r="C62" s="18">
        <f>C34/C25</f>
        <v>0.002121291372446459</v>
      </c>
      <c r="D62" s="18">
        <f>(D34/0.75)/D25</f>
        <v>0.002080488914895</v>
      </c>
      <c r="E62" s="18">
        <f>(E34/0.5)/E25</f>
        <v>0.0024997070655782523</v>
      </c>
      <c r="F62" s="14">
        <f>(F34/0.25)/F25</f>
        <v>0.0025009986626604373</v>
      </c>
      <c r="G62" s="14">
        <f>G34/G25</f>
        <v>0.002310570861692242</v>
      </c>
      <c r="H62" s="16" t="s">
        <v>43</v>
      </c>
    </row>
    <row r="63" spans="1:8" ht="11.25">
      <c r="A63" s="5" t="s">
        <v>58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59</v>
      </c>
      <c r="B64" s="7"/>
      <c r="C64" s="8">
        <f>4+1</f>
        <v>5</v>
      </c>
      <c r="D64" s="8">
        <f>4+1</f>
        <v>5</v>
      </c>
      <c r="E64" s="8">
        <f>1+4</f>
        <v>5</v>
      </c>
      <c r="F64" s="8">
        <v>5</v>
      </c>
      <c r="G64" s="8">
        <v>5</v>
      </c>
      <c r="H64" s="8">
        <v>5</v>
      </c>
    </row>
    <row r="65" spans="1:8" ht="11.25">
      <c r="A65" s="7" t="s">
        <v>60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61</v>
      </c>
      <c r="B66" s="7"/>
      <c r="C66" s="8">
        <f aca="true" t="shared" si="10" ref="C66:H66">C11/C64</f>
        <v>1908.2</v>
      </c>
      <c r="D66" s="8">
        <f t="shared" si="10"/>
        <v>3327.8</v>
      </c>
      <c r="E66" s="8">
        <f t="shared" si="10"/>
        <v>3059.8</v>
      </c>
      <c r="F66" s="8">
        <f t="shared" si="10"/>
        <v>5323.4</v>
      </c>
      <c r="G66" s="8">
        <f t="shared" si="10"/>
        <v>5221.2</v>
      </c>
      <c r="H66" s="8">
        <f t="shared" si="10"/>
        <v>396</v>
      </c>
    </row>
    <row r="67" spans="1:8" ht="11.25">
      <c r="A67" s="7" t="s">
        <v>62</v>
      </c>
      <c r="B67" s="7"/>
      <c r="C67" s="8">
        <f aca="true" t="shared" si="11" ref="C67:H67">+C15/C64</f>
        <v>7118.8</v>
      </c>
      <c r="D67" s="8">
        <f t="shared" si="11"/>
        <v>6920.6</v>
      </c>
      <c r="E67" s="8">
        <f t="shared" si="11"/>
        <v>5943.2</v>
      </c>
      <c r="F67" s="8">
        <f t="shared" si="11"/>
        <v>7616</v>
      </c>
      <c r="G67" s="8">
        <f t="shared" si="11"/>
        <v>4987</v>
      </c>
      <c r="H67" s="8">
        <f t="shared" si="11"/>
        <v>1472.2</v>
      </c>
    </row>
    <row r="68" spans="1:8" ht="11.25">
      <c r="A68" s="3" t="s">
        <v>63</v>
      </c>
      <c r="B68" s="3"/>
      <c r="C68" s="9">
        <f aca="true" t="shared" si="12" ref="C68:H68">+C38/C64</f>
        <v>40.2</v>
      </c>
      <c r="D68" s="9">
        <f t="shared" si="12"/>
        <v>36.2</v>
      </c>
      <c r="E68" s="9">
        <f t="shared" si="12"/>
        <v>27.2</v>
      </c>
      <c r="F68" s="9">
        <f t="shared" si="12"/>
        <v>11</v>
      </c>
      <c r="G68" s="9">
        <f t="shared" si="12"/>
        <v>0.4</v>
      </c>
      <c r="H68" s="9">
        <f t="shared" si="12"/>
        <v>14</v>
      </c>
    </row>
    <row r="69" spans="1:8" ht="11.25">
      <c r="A69" s="5" t="s">
        <v>64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65</v>
      </c>
      <c r="B70" s="7"/>
      <c r="C70" s="12">
        <f>+(C9/G9)-1</f>
        <v>0.3548773394464022</v>
      </c>
      <c r="D70" s="12">
        <f>+(D9/22642)-1</f>
        <v>0.7172511262255985</v>
      </c>
      <c r="E70" s="12">
        <f>+(E9/15062)-1</f>
        <v>1.3996813172221483</v>
      </c>
      <c r="F70" s="12">
        <f>+(E9/11812)-1</f>
        <v>2.0599390450389437</v>
      </c>
      <c r="G70" s="12">
        <f>+(G9/H9)-1</f>
        <v>1.7598677998111425</v>
      </c>
      <c r="H70" s="19" t="s">
        <v>22</v>
      </c>
    </row>
    <row r="71" spans="1:8" ht="11.25">
      <c r="A71" s="7" t="s">
        <v>66</v>
      </c>
      <c r="B71" s="7"/>
      <c r="C71" s="12">
        <f>SUM(C72:C73)</f>
        <v>-0.6345284608902169</v>
      </c>
      <c r="D71" s="12">
        <f>SUM(D72:D73)</f>
        <v>0.46444287977468757</v>
      </c>
      <c r="E71" s="12">
        <f>SUM(E72:E73)</f>
        <v>0.7904037448800467</v>
      </c>
      <c r="F71" s="12">
        <f>SUM(F72:F73)</f>
        <v>4.515333609614587</v>
      </c>
      <c r="G71" s="12">
        <f>SUM(G72:G73)</f>
        <v>12.184848484848485</v>
      </c>
      <c r="H71" s="19" t="s">
        <v>22</v>
      </c>
    </row>
    <row r="72" spans="1:8" ht="11.25">
      <c r="A72" s="7"/>
      <c r="B72" s="7" t="s">
        <v>13</v>
      </c>
      <c r="C72" s="12">
        <v>0</v>
      </c>
      <c r="D72" s="7">
        <v>0</v>
      </c>
      <c r="E72" s="7">
        <v>0</v>
      </c>
      <c r="F72" s="7">
        <v>0</v>
      </c>
      <c r="G72" s="7">
        <v>0</v>
      </c>
      <c r="H72" s="19" t="s">
        <v>22</v>
      </c>
    </row>
    <row r="73" spans="1:8" ht="11.25">
      <c r="A73" s="7"/>
      <c r="B73" s="7" t="s">
        <v>14</v>
      </c>
      <c r="C73" s="12">
        <f>+(C13/G13)-1</f>
        <v>-0.6345284608902169</v>
      </c>
      <c r="D73" s="12">
        <f>+(D13/11362)-1</f>
        <v>0.46444287977468757</v>
      </c>
      <c r="E73" s="12">
        <f>+(E13/8545)-1</f>
        <v>0.7904037448800467</v>
      </c>
      <c r="F73" s="12">
        <f>+(F13/4826)-1</f>
        <v>4.515333609614587</v>
      </c>
      <c r="G73" s="12">
        <f>+(G13/H13)-1</f>
        <v>12.184848484848485</v>
      </c>
      <c r="H73" s="19" t="s">
        <v>22</v>
      </c>
    </row>
    <row r="74" spans="1:8" ht="11.25">
      <c r="A74" s="7" t="s">
        <v>67</v>
      </c>
      <c r="B74" s="7"/>
      <c r="C74" s="12">
        <f>SUM(C75:C76)</f>
        <v>0.4274714257068377</v>
      </c>
      <c r="D74" s="12">
        <f>SUM(D75:D76)</f>
        <v>0.8664976535951239</v>
      </c>
      <c r="E74" s="12">
        <f>SUM(E75:E76)</f>
        <v>1.5717005625270444</v>
      </c>
      <c r="F74" s="12">
        <f>SUM(F75:F76)</f>
        <v>3.515058098174057</v>
      </c>
      <c r="G74" s="12">
        <f>SUM(G75:G76)</f>
        <v>2.387447357695965</v>
      </c>
      <c r="H74" s="19" t="s">
        <v>22</v>
      </c>
    </row>
    <row r="75" spans="1:8" ht="11.25">
      <c r="A75" s="7"/>
      <c r="B75" s="7" t="s">
        <v>13</v>
      </c>
      <c r="C75" s="12">
        <v>0</v>
      </c>
      <c r="D75" s="7">
        <v>0</v>
      </c>
      <c r="E75" s="7">
        <v>0</v>
      </c>
      <c r="F75" s="7">
        <v>0</v>
      </c>
      <c r="G75" s="7">
        <v>0</v>
      </c>
      <c r="H75" s="19" t="s">
        <v>22</v>
      </c>
    </row>
    <row r="76" spans="1:8" ht="11.25">
      <c r="A76" s="7"/>
      <c r="B76" s="7" t="s">
        <v>14</v>
      </c>
      <c r="C76" s="12">
        <f>+(C20/G20)-1</f>
        <v>0.4274714257068377</v>
      </c>
      <c r="D76" s="12">
        <f>+(D20/18539)-1</f>
        <v>0.8664976535951239</v>
      </c>
      <c r="E76" s="12">
        <f>+(E20/11555)-1</f>
        <v>1.5717005625270444</v>
      </c>
      <c r="F76" s="12">
        <f>+(F20/8434)-1</f>
        <v>3.515058098174057</v>
      </c>
      <c r="G76" s="12">
        <f>+(G20/H20)-1</f>
        <v>2.387447357695965</v>
      </c>
      <c r="H76" s="19" t="s">
        <v>22</v>
      </c>
    </row>
    <row r="77" spans="1:8" ht="11.25">
      <c r="A77" s="7" t="s">
        <v>68</v>
      </c>
      <c r="B77" s="7"/>
      <c r="C77" s="20">
        <f>+(C23/G23)-1</f>
        <v>0.06914168937329701</v>
      </c>
      <c r="D77" s="20">
        <f>+(D23/2894)-1</f>
        <v>0.07740152038700754</v>
      </c>
      <c r="E77" s="20">
        <f>+(E23/2885)-1</f>
        <v>0.06481802426343153</v>
      </c>
      <c r="F77" s="20">
        <f>+(F23/2907)-1</f>
        <v>0.028895768833849367</v>
      </c>
      <c r="G77" s="12">
        <f>+(G23/H23)-1</f>
        <v>0.0020477815699657675</v>
      </c>
      <c r="H77" s="19" t="s">
        <v>22</v>
      </c>
    </row>
    <row r="78" spans="1:8" ht="11.25">
      <c r="A78" s="3" t="s">
        <v>69</v>
      </c>
      <c r="B78" s="3"/>
      <c r="C78" s="14">
        <f>+(C38/G38)-1</f>
        <v>99.5</v>
      </c>
      <c r="D78" s="14">
        <f>+(D38/37)-1</f>
        <v>3.891891891891892</v>
      </c>
      <c r="E78" s="14">
        <f>+(E38/43)-1</f>
        <v>2.1627906976744184</v>
      </c>
      <c r="F78" s="14">
        <f>+(F38/23)-1</f>
        <v>1.391304347826087</v>
      </c>
      <c r="G78" s="14">
        <f>+(G38/H38)-1</f>
        <v>-0.9714285714285714</v>
      </c>
      <c r="H78" s="21" t="s">
        <v>22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2002-05-02T20:40:13Z</cp:lastPrinted>
  <dcterms:created xsi:type="dcterms:W3CDTF">2002-03-08T15:32:20Z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