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Filanbanco" sheetId="1" r:id="rId1"/>
  </sheets>
  <definedNames/>
  <calcPr fullCalcOnLoad="1"/>
</workbook>
</file>

<file path=xl/comments1.xml><?xml version="1.0" encoding="utf-8"?>
<comments xmlns="http://schemas.openxmlformats.org/spreadsheetml/2006/main">
  <authors>
    <author>Superintendencia de Bancos</author>
  </authors>
  <commentList>
    <comment ref="I39" authorId="0">
      <text>
        <r>
          <rPr>
            <b/>
            <sz val="8"/>
            <rFont val="Tahoma"/>
            <family val="0"/>
          </rPr>
          <t>Superintendencia de Bancos:</t>
        </r>
        <r>
          <rPr>
            <sz val="8"/>
            <rFont val="Tahoma"/>
            <family val="0"/>
          </rPr>
          <t xml:space="preserve">
VERIFICAR SI ERA NEGATIVO</t>
        </r>
      </text>
    </comment>
  </commentList>
</comments>
</file>

<file path=xl/sharedStrings.xml><?xml version="1.0" encoding="utf-8"?>
<sst xmlns="http://schemas.openxmlformats.org/spreadsheetml/2006/main" count="80" uniqueCount="68">
  <si>
    <t>CUADRO No. 19-27     FILANBANCO TRUST &amp; BANKING, CORP.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</si>
  <si>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</si>
  <si>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</si>
  <si>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</si>
  <si>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</si>
  <si>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</si>
  <si>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</si>
  <si>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</si>
  <si>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</si>
  <si>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</si>
  <si>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</si>
  <si>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</si>
  <si>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</si>
  <si>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</si>
  <si>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</si>
  <si>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</si>
  <si>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</si>
  <si>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</si>
  <si>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</si>
  <si>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</si>
  <si>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</si>
  <si>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</si>
  <si>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</si>
  <si>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</si>
  <si>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</si>
  <si>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</si>
  <si>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</si>
  <si>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</si>
  <si>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</si>
  <si>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</si>
  <si>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</si>
  <si>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</si>
  <si>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</si>
  <si>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</si>
  <si>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</si>
  <si>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</si>
  <si>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</si>
  <si>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</si>
  <si>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</si>
  <si>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</si>
  <si>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</si>
  <si>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Total de activos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</si>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</sst>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36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"/>
    <numFmt numFmtId="182" formatCode="0.0%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??_);_(@_)"/>
    <numFmt numFmtId="190" formatCode="0.000%"/>
    <numFmt numFmtId="191" formatCode="0_ ;\-0\ "/>
  </numFmts>
  <fonts count="7">
    <font>
      <sz val="10"/>
      <name val="Arial"/>
      <family val="0"/>
    </font>
    <font>
      <sz val="7"/>
      <name val="Arial"/>
      <family val="0"/>
    </font>
    <font>
      <sz val="7"/>
      <name val="Arial Narrow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179" fontId="5" fillId="0" borderId="0" xfId="15" applyNumberFormat="1" applyFont="1" applyAlignment="1">
      <alignment/>
    </xf>
    <xf numFmtId="0" fontId="6" fillId="0" borderId="0" xfId="0" applyFont="1" applyAlignment="1">
      <alignment/>
    </xf>
    <xf numFmtId="179" fontId="6" fillId="0" borderId="0" xfId="15" applyNumberFormat="1" applyFont="1" applyAlignment="1">
      <alignment/>
    </xf>
    <xf numFmtId="179" fontId="6" fillId="0" borderId="1" xfId="15" applyNumberFormat="1" applyFont="1" applyBorder="1" applyAlignment="1">
      <alignment/>
    </xf>
    <xf numFmtId="179" fontId="6" fillId="0" borderId="0" xfId="15" applyNumberFormat="1" applyFont="1" applyFill="1" applyAlignment="1">
      <alignment/>
    </xf>
    <xf numFmtId="0" fontId="6" fillId="0" borderId="0" xfId="0" applyFont="1" applyFill="1" applyAlignment="1">
      <alignment/>
    </xf>
    <xf numFmtId="179" fontId="6" fillId="0" borderId="1" xfId="15" applyNumberFormat="1" applyFont="1" applyFill="1" applyBorder="1" applyAlignment="1">
      <alignment/>
    </xf>
    <xf numFmtId="10" fontId="6" fillId="0" borderId="0" xfId="19" applyNumberFormat="1" applyFont="1" applyAlignment="1">
      <alignment/>
    </xf>
    <xf numFmtId="0" fontId="6" fillId="0" borderId="0" xfId="0" applyFont="1" applyBorder="1" applyAlignment="1">
      <alignment/>
    </xf>
    <xf numFmtId="10" fontId="6" fillId="0" borderId="1" xfId="19" applyNumberFormat="1" applyFont="1" applyBorder="1" applyAlignment="1">
      <alignment/>
    </xf>
    <xf numFmtId="10" fontId="6" fillId="0" borderId="0" xfId="19" applyNumberFormat="1" applyFont="1" applyFill="1" applyAlignment="1">
      <alignment/>
    </xf>
    <xf numFmtId="10" fontId="6" fillId="0" borderId="1" xfId="19" applyNumberFormat="1" applyFont="1" applyFill="1" applyBorder="1" applyAlignment="1">
      <alignment/>
    </xf>
    <xf numFmtId="10" fontId="6" fillId="0" borderId="0" xfId="19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104775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9" sqref="E9"/>
    </sheetView>
  </sheetViews>
  <sheetFormatPr defaultColWidth="11.421875" defaultRowHeight="12.75"/>
  <cols>
    <col min="1" max="1" width="3.7109375" style="1" customWidth="1"/>
    <col min="2" max="2" width="36.57421875" style="1" customWidth="1"/>
    <col min="3" max="3" width="11.421875" style="1" customWidth="1"/>
    <col min="4" max="4" width="9.421875" style="1" customWidth="1"/>
    <col min="5" max="5" width="8.8515625" style="1" customWidth="1"/>
    <col min="6" max="6" width="9.57421875" style="1" customWidth="1"/>
    <col min="7" max="7" width="11.00390625" style="1" customWidth="1"/>
    <col min="8" max="16384" width="11.421875" style="1" customWidth="1"/>
  </cols>
  <sheetData>
    <row r="1" spans="2:8" ht="11.25">
      <c r="B1" s="20"/>
      <c r="C1" s="20"/>
      <c r="D1" s="20"/>
      <c r="E1" s="20"/>
      <c r="F1" s="20"/>
      <c r="G1" s="20"/>
      <c r="H1" s="20"/>
    </row>
    <row r="2" spans="2:8" ht="11.25">
      <c r="B2" s="20"/>
      <c r="C2" s="20"/>
      <c r="D2" s="20"/>
      <c r="E2" s="20"/>
      <c r="F2" s="20" t="s">
        <v>0</v>
      </c>
      <c r="G2" s="20"/>
      <c r="H2" s="20"/>
    </row>
    <row r="3" spans="2:8" ht="11.25">
      <c r="B3" s="21"/>
      <c r="C3" s="21"/>
      <c r="D3" s="21"/>
      <c r="E3" s="21"/>
      <c r="F3" s="20" t="s">
        <v>1</v>
      </c>
      <c r="G3" s="21"/>
      <c r="H3" s="21"/>
    </row>
    <row r="4" spans="1:8" ht="11.25">
      <c r="A4" s="21"/>
      <c r="B4" s="21"/>
      <c r="C4" s="21"/>
      <c r="D4" s="21"/>
      <c r="E4" s="21"/>
      <c r="F4" s="21" t="s">
        <v>2</v>
      </c>
      <c r="G4" s="21"/>
      <c r="H4" s="21"/>
    </row>
    <row r="5" spans="1:8" ht="11.25">
      <c r="A5" s="21"/>
      <c r="B5" s="21"/>
      <c r="C5" s="21"/>
      <c r="D5" s="21"/>
      <c r="E5" s="21"/>
      <c r="F5" s="21"/>
      <c r="G5" s="21"/>
      <c r="H5" s="21"/>
    </row>
    <row r="6" spans="1:8" ht="11.25">
      <c r="A6" s="21"/>
      <c r="B6" s="21"/>
      <c r="C6" s="21"/>
      <c r="D6" s="21"/>
      <c r="E6" s="21"/>
      <c r="F6" s="21"/>
      <c r="G6" s="21"/>
      <c r="H6" s="21"/>
    </row>
    <row r="7" spans="1:8" ht="11.25">
      <c r="A7" s="4"/>
      <c r="B7" s="4"/>
      <c r="C7" s="4"/>
      <c r="D7" s="4"/>
      <c r="E7" s="4"/>
      <c r="F7" s="4"/>
      <c r="G7" s="4"/>
      <c r="H7" s="4"/>
    </row>
    <row r="8" spans="1:8" ht="11.25">
      <c r="A8" s="5"/>
      <c r="B8" s="5"/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</row>
    <row r="9" spans="1:8" ht="11.25">
      <c r="A9" s="6" t="s">
        <v>9</v>
      </c>
      <c r="B9" s="6"/>
      <c r="C9" s="7"/>
      <c r="D9" s="7"/>
      <c r="E9" s="7"/>
      <c r="F9" s="7"/>
      <c r="G9" s="7"/>
      <c r="H9" s="7"/>
    </row>
    <row r="10" spans="1:8" ht="11.25">
      <c r="A10" s="8" t="s">
        <v>10</v>
      </c>
      <c r="B10" s="8"/>
      <c r="C10" s="9">
        <v>123599</v>
      </c>
      <c r="D10" s="9">
        <v>127098</v>
      </c>
      <c r="E10" s="9">
        <v>126626</v>
      </c>
      <c r="F10" s="9">
        <v>129605</v>
      </c>
      <c r="G10" s="9">
        <v>115799</v>
      </c>
      <c r="H10" s="9">
        <v>230158</v>
      </c>
    </row>
    <row r="11" spans="1:8" ht="11.25">
      <c r="A11" s="8" t="s">
        <v>11</v>
      </c>
      <c r="B11" s="8"/>
      <c r="C11" s="9">
        <v>6061</v>
      </c>
      <c r="D11" s="9">
        <v>13418</v>
      </c>
      <c r="E11" s="9">
        <v>8273</v>
      </c>
      <c r="F11" s="9">
        <v>15754</v>
      </c>
      <c r="G11" s="9">
        <v>14871</v>
      </c>
      <c r="H11" s="9">
        <v>17683</v>
      </c>
    </row>
    <row r="12" spans="1:8" ht="11.25">
      <c r="A12" s="8" t="s">
        <v>12</v>
      </c>
      <c r="B12" s="8"/>
      <c r="C12" s="9">
        <f aca="true" t="shared" si="0" ref="C12:H12">C13+C14</f>
        <v>273</v>
      </c>
      <c r="D12" s="9">
        <f t="shared" si="0"/>
        <v>47755</v>
      </c>
      <c r="E12" s="9">
        <f t="shared" si="0"/>
        <v>52638</v>
      </c>
      <c r="F12" s="9">
        <f t="shared" si="0"/>
        <v>62514</v>
      </c>
      <c r="G12" s="9">
        <f t="shared" si="0"/>
        <v>50877</v>
      </c>
      <c r="H12" s="9">
        <f t="shared" si="0"/>
        <v>198554</v>
      </c>
    </row>
    <row r="13" spans="1:8" ht="11.25">
      <c r="A13" s="8"/>
      <c r="B13" s="8" t="s">
        <v>13</v>
      </c>
      <c r="C13" s="9">
        <v>0</v>
      </c>
      <c r="D13" s="9"/>
      <c r="E13" s="9">
        <v>0</v>
      </c>
      <c r="F13" s="9">
        <v>0</v>
      </c>
      <c r="G13" s="9">
        <v>0</v>
      </c>
      <c r="H13" s="9">
        <v>0</v>
      </c>
    </row>
    <row r="14" spans="1:8" ht="11.25">
      <c r="A14" s="8"/>
      <c r="B14" s="8" t="s">
        <v>14</v>
      </c>
      <c r="C14" s="9">
        <v>273</v>
      </c>
      <c r="D14" s="9">
        <v>47755</v>
      </c>
      <c r="E14" s="9">
        <v>52638</v>
      </c>
      <c r="F14" s="9">
        <v>62514</v>
      </c>
      <c r="G14" s="9">
        <v>50877</v>
      </c>
      <c r="H14" s="9">
        <v>198554</v>
      </c>
    </row>
    <row r="15" spans="1:8" ht="11.25">
      <c r="A15" s="8" t="s">
        <v>15</v>
      </c>
      <c r="B15" s="8"/>
      <c r="C15" s="9">
        <v>67331</v>
      </c>
      <c r="D15" s="9">
        <v>61105</v>
      </c>
      <c r="E15" s="9">
        <v>59440</v>
      </c>
      <c r="F15" s="9">
        <v>44435</v>
      </c>
      <c r="G15" s="9">
        <v>44778</v>
      </c>
      <c r="H15" s="9">
        <v>5175</v>
      </c>
    </row>
    <row r="16" spans="1:8" ht="11.25">
      <c r="A16" s="8" t="s">
        <v>16</v>
      </c>
      <c r="B16" s="8"/>
      <c r="C16" s="9">
        <f aca="true" t="shared" si="1" ref="C16:H16">C17+C21</f>
        <v>102403</v>
      </c>
      <c r="D16" s="9">
        <f t="shared" si="1"/>
        <v>104398</v>
      </c>
      <c r="E16" s="9">
        <f t="shared" si="1"/>
        <v>102904</v>
      </c>
      <c r="F16" s="9">
        <f t="shared" si="1"/>
        <v>105740</v>
      </c>
      <c r="G16" s="9">
        <f t="shared" si="1"/>
        <v>91964</v>
      </c>
      <c r="H16" s="9">
        <f t="shared" si="1"/>
        <v>175369</v>
      </c>
    </row>
    <row r="17" spans="1:8" ht="11.25">
      <c r="A17" s="8"/>
      <c r="B17" s="8" t="s">
        <v>13</v>
      </c>
      <c r="C17" s="9">
        <f aca="true" t="shared" si="2" ref="C17:H17">SUM(C18:C20)</f>
        <v>0</v>
      </c>
      <c r="D17" s="9">
        <f t="shared" si="2"/>
        <v>0</v>
      </c>
      <c r="E17" s="9">
        <f t="shared" si="2"/>
        <v>0</v>
      </c>
      <c r="F17" s="9">
        <f t="shared" si="2"/>
        <v>0</v>
      </c>
      <c r="G17" s="9">
        <f t="shared" si="2"/>
        <v>0</v>
      </c>
      <c r="H17" s="9">
        <f t="shared" si="2"/>
        <v>0</v>
      </c>
    </row>
    <row r="18" spans="1:8" ht="11.25">
      <c r="A18" s="8"/>
      <c r="B18" s="8" t="s">
        <v>17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1.25">
      <c r="A19" s="8"/>
      <c r="B19" s="8" t="s">
        <v>18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1.25">
      <c r="A20" s="8"/>
      <c r="B20" s="8" t="s">
        <v>19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ht="11.25">
      <c r="A21" s="8"/>
      <c r="B21" s="8" t="s">
        <v>14</v>
      </c>
      <c r="C21" s="9">
        <f aca="true" t="shared" si="3" ref="C21:H21">SUM(C22:C23)</f>
        <v>102403</v>
      </c>
      <c r="D21" s="9">
        <f t="shared" si="3"/>
        <v>104398</v>
      </c>
      <c r="E21" s="9">
        <f t="shared" si="3"/>
        <v>102904</v>
      </c>
      <c r="F21" s="9">
        <f t="shared" si="3"/>
        <v>105740</v>
      </c>
      <c r="G21" s="9">
        <f t="shared" si="3"/>
        <v>91964</v>
      </c>
      <c r="H21" s="9">
        <f t="shared" si="3"/>
        <v>175369</v>
      </c>
    </row>
    <row r="22" spans="1:8" ht="11.25">
      <c r="A22" s="8"/>
      <c r="B22" s="8" t="s">
        <v>18</v>
      </c>
      <c r="C22" s="9">
        <v>102403</v>
      </c>
      <c r="D22" s="9">
        <v>104398</v>
      </c>
      <c r="E22" s="9">
        <v>102878</v>
      </c>
      <c r="F22" s="9">
        <v>105740</v>
      </c>
      <c r="G22" s="9">
        <v>91964</v>
      </c>
      <c r="H22" s="9">
        <v>174547</v>
      </c>
    </row>
    <row r="23" spans="1:8" ht="11.25">
      <c r="A23" s="8"/>
      <c r="B23" s="8" t="s">
        <v>19</v>
      </c>
      <c r="C23" s="9">
        <v>0</v>
      </c>
      <c r="D23" s="9">
        <v>0</v>
      </c>
      <c r="E23" s="9">
        <v>26</v>
      </c>
      <c r="F23" s="9">
        <v>0</v>
      </c>
      <c r="G23" s="9">
        <v>0</v>
      </c>
      <c r="H23" s="9">
        <v>822</v>
      </c>
    </row>
    <row r="24" spans="1:8" ht="11.25">
      <c r="A24" s="4" t="s">
        <v>20</v>
      </c>
      <c r="B24" s="4"/>
      <c r="C24" s="10">
        <v>15000</v>
      </c>
      <c r="D24" s="10">
        <v>14153</v>
      </c>
      <c r="E24" s="10">
        <v>14142</v>
      </c>
      <c r="F24" s="10">
        <v>14131</v>
      </c>
      <c r="G24" s="10">
        <v>13811</v>
      </c>
      <c r="H24" s="10">
        <v>15408</v>
      </c>
    </row>
    <row r="25" spans="1:8" ht="11.25">
      <c r="A25" s="6" t="s">
        <v>21</v>
      </c>
      <c r="B25" s="8"/>
      <c r="C25" s="9"/>
      <c r="D25" s="9"/>
      <c r="E25" s="9"/>
      <c r="F25" s="9"/>
      <c r="G25" s="9"/>
      <c r="H25" s="11"/>
    </row>
    <row r="26" spans="1:8" ht="11.25">
      <c r="A26" s="8" t="s">
        <v>10</v>
      </c>
      <c r="B26" s="8"/>
      <c r="C26" s="9">
        <f>+(C10+G10)/2</f>
        <v>119699</v>
      </c>
      <c r="D26" s="9">
        <f>+(121837+D10)/2</f>
        <v>124467.5</v>
      </c>
      <c r="E26" s="9">
        <f>+(124546+E10)/2</f>
        <v>125586</v>
      </c>
      <c r="F26" s="9">
        <f>+(163800+F10)/2</f>
        <v>146702.5</v>
      </c>
      <c r="G26" s="9">
        <f>+(G10+H10)/2</f>
        <v>172978.5</v>
      </c>
      <c r="H26" s="9">
        <f>+(294559+H10)/2</f>
        <v>262358.5</v>
      </c>
    </row>
    <row r="27" spans="1:8" ht="11.25">
      <c r="A27" s="8" t="s">
        <v>22</v>
      </c>
      <c r="B27" s="8"/>
      <c r="C27" s="9">
        <f aca="true" t="shared" si="4" ref="C27:H27">C28+C29</f>
        <v>81629.5</v>
      </c>
      <c r="D27" s="9">
        <f t="shared" si="4"/>
        <v>105339</v>
      </c>
      <c r="E27" s="9">
        <f t="shared" si="4"/>
        <v>83582.5</v>
      </c>
      <c r="F27" s="9">
        <f t="shared" si="4"/>
        <v>122342</v>
      </c>
      <c r="G27" s="9">
        <f t="shared" si="4"/>
        <v>149692</v>
      </c>
      <c r="H27" s="9">
        <f t="shared" si="4"/>
        <v>219560.5</v>
      </c>
    </row>
    <row r="28" spans="1:8" ht="11.25">
      <c r="A28" s="8"/>
      <c r="B28" s="12" t="s">
        <v>12</v>
      </c>
      <c r="C28" s="11">
        <f>+(C12+G12)/2</f>
        <v>25575</v>
      </c>
      <c r="D28" s="11">
        <f>+(70512+D12)/2</f>
        <v>59133.5</v>
      </c>
      <c r="E28" s="11">
        <f>+(81799+E12)/2</f>
        <v>67218.5</v>
      </c>
      <c r="F28" s="11">
        <f>+(132796+F12)/2</f>
        <v>97655</v>
      </c>
      <c r="G28" s="11">
        <f>+(G12+H12)/2</f>
        <v>124715.5</v>
      </c>
      <c r="H28" s="11">
        <f>+(188528+H12)/2</f>
        <v>193541</v>
      </c>
    </row>
    <row r="29" spans="1:8" ht="11.25">
      <c r="A29" s="8"/>
      <c r="B29" s="8" t="s">
        <v>15</v>
      </c>
      <c r="C29" s="9">
        <f>+(C15+G15)/2</f>
        <v>56054.5</v>
      </c>
      <c r="D29" s="9">
        <f>+(31306+D15)/2</f>
        <v>46205.5</v>
      </c>
      <c r="E29" s="9">
        <v>16364</v>
      </c>
      <c r="F29" s="9">
        <f>+(4939+F15)/2</f>
        <v>24687</v>
      </c>
      <c r="G29" s="9">
        <f>+(G15+H15)/2</f>
        <v>24976.5</v>
      </c>
      <c r="H29" s="9">
        <f>+(46864+H15)/2</f>
        <v>26019.5</v>
      </c>
    </row>
    <row r="30" spans="1:8" ht="11.25">
      <c r="A30" s="4" t="s">
        <v>20</v>
      </c>
      <c r="B30" s="4"/>
      <c r="C30" s="10">
        <f>+(C24+G24)/2</f>
        <v>14405.5</v>
      </c>
      <c r="D30" s="10">
        <f>+(13847+D24)/2</f>
        <v>14000</v>
      </c>
      <c r="E30" s="10">
        <f>+(14000+E24)/2</f>
        <v>14071</v>
      </c>
      <c r="F30" s="10">
        <f>+(16176+F24)/2</f>
        <v>15153.5</v>
      </c>
      <c r="G30" s="10">
        <f>+(G24+H24)/2</f>
        <v>14609.5</v>
      </c>
      <c r="H30" s="10">
        <f>+(15211+H24)/2</f>
        <v>15309.5</v>
      </c>
    </row>
    <row r="31" spans="1:8" ht="11.25">
      <c r="A31" s="6" t="s">
        <v>23</v>
      </c>
      <c r="B31" s="8"/>
      <c r="C31" s="8"/>
      <c r="D31" s="8"/>
      <c r="E31" s="8"/>
      <c r="F31" s="8"/>
      <c r="G31" s="8"/>
      <c r="H31" s="8"/>
    </row>
    <row r="32" spans="1:8" ht="11.25">
      <c r="A32" s="8" t="s">
        <v>24</v>
      </c>
      <c r="B32" s="8"/>
      <c r="C32" s="9">
        <v>17083</v>
      </c>
      <c r="D32" s="9">
        <v>13859</v>
      </c>
      <c r="E32" s="9">
        <v>9417</v>
      </c>
      <c r="F32" s="9">
        <v>4392</v>
      </c>
      <c r="G32" s="9">
        <v>20365</v>
      </c>
      <c r="H32" s="9">
        <v>32509</v>
      </c>
    </row>
    <row r="33" spans="1:8" ht="11.25">
      <c r="A33" s="8" t="s">
        <v>25</v>
      </c>
      <c r="B33" s="8"/>
      <c r="C33" s="9">
        <v>16525</v>
      </c>
      <c r="D33" s="9">
        <v>12704</v>
      </c>
      <c r="E33" s="9">
        <v>8791</v>
      </c>
      <c r="F33" s="9">
        <v>3919</v>
      </c>
      <c r="G33" s="9">
        <v>21473</v>
      </c>
      <c r="H33" s="9">
        <v>48015</v>
      </c>
    </row>
    <row r="34" spans="1:8" ht="11.25">
      <c r="A34" s="8" t="s">
        <v>26</v>
      </c>
      <c r="B34" s="8"/>
      <c r="C34" s="9">
        <f aca="true" t="shared" si="5" ref="C34:H34">C32-C33</f>
        <v>558</v>
      </c>
      <c r="D34" s="9">
        <f t="shared" si="5"/>
        <v>1155</v>
      </c>
      <c r="E34" s="9">
        <f t="shared" si="5"/>
        <v>626</v>
      </c>
      <c r="F34" s="9">
        <f t="shared" si="5"/>
        <v>473</v>
      </c>
      <c r="G34" s="9">
        <f t="shared" si="5"/>
        <v>-1108</v>
      </c>
      <c r="H34" s="9">
        <f t="shared" si="5"/>
        <v>-15506</v>
      </c>
    </row>
    <row r="35" spans="1:8" ht="11.25">
      <c r="A35" s="8" t="s">
        <v>27</v>
      </c>
      <c r="B35" s="8"/>
      <c r="C35" s="9">
        <v>55</v>
      </c>
      <c r="D35" s="9">
        <v>0</v>
      </c>
      <c r="E35" s="9">
        <v>0</v>
      </c>
      <c r="F35" s="9">
        <v>0</v>
      </c>
      <c r="G35" s="9">
        <v>2821</v>
      </c>
      <c r="H35" s="9">
        <v>15898</v>
      </c>
    </row>
    <row r="36" spans="1:8" ht="11.25">
      <c r="A36" s="8" t="s">
        <v>28</v>
      </c>
      <c r="B36" s="8"/>
      <c r="C36" s="9">
        <f aca="true" t="shared" si="6" ref="C36:H36">C34+C35</f>
        <v>613</v>
      </c>
      <c r="D36" s="9">
        <f t="shared" si="6"/>
        <v>1155</v>
      </c>
      <c r="E36" s="9">
        <f t="shared" si="6"/>
        <v>626</v>
      </c>
      <c r="F36" s="9">
        <f t="shared" si="6"/>
        <v>473</v>
      </c>
      <c r="G36" s="9">
        <f t="shared" si="6"/>
        <v>1713</v>
      </c>
      <c r="H36" s="9">
        <f t="shared" si="6"/>
        <v>392</v>
      </c>
    </row>
    <row r="37" spans="1:8" ht="11.25">
      <c r="A37" s="8" t="s">
        <v>29</v>
      </c>
      <c r="B37" s="8"/>
      <c r="C37" s="9">
        <v>1170</v>
      </c>
      <c r="D37" s="9">
        <v>813</v>
      </c>
      <c r="E37" s="9">
        <v>294</v>
      </c>
      <c r="F37" s="9">
        <v>139</v>
      </c>
      <c r="G37" s="9">
        <v>1520</v>
      </c>
      <c r="H37" s="9">
        <v>1219</v>
      </c>
    </row>
    <row r="38" spans="1:8" ht="11.25">
      <c r="A38" s="8" t="s">
        <v>30</v>
      </c>
      <c r="B38" s="8"/>
      <c r="C38" s="9">
        <f aca="true" t="shared" si="7" ref="C38:H38">C36-C37</f>
        <v>-557</v>
      </c>
      <c r="D38" s="9">
        <f t="shared" si="7"/>
        <v>342</v>
      </c>
      <c r="E38" s="9">
        <f t="shared" si="7"/>
        <v>332</v>
      </c>
      <c r="F38" s="9">
        <f t="shared" si="7"/>
        <v>334</v>
      </c>
      <c r="G38" s="9">
        <f t="shared" si="7"/>
        <v>193</v>
      </c>
      <c r="H38" s="9">
        <f t="shared" si="7"/>
        <v>-827</v>
      </c>
    </row>
    <row r="39" spans="1:9" ht="11.25">
      <c r="A39" s="4" t="s">
        <v>31</v>
      </c>
      <c r="B39" s="4"/>
      <c r="C39" s="10">
        <v>-819</v>
      </c>
      <c r="D39" s="10">
        <v>342</v>
      </c>
      <c r="E39" s="10">
        <v>332</v>
      </c>
      <c r="F39" s="10">
        <v>334</v>
      </c>
      <c r="G39" s="10">
        <v>-1600</v>
      </c>
      <c r="H39" s="13">
        <v>3804</v>
      </c>
      <c r="I39" s="3"/>
    </row>
    <row r="40" spans="1:8" ht="11.25">
      <c r="A40" s="6" t="s">
        <v>32</v>
      </c>
      <c r="B40" s="8"/>
      <c r="C40" s="8"/>
      <c r="D40" s="8"/>
      <c r="E40" s="8"/>
      <c r="F40" s="8"/>
      <c r="G40" s="8"/>
      <c r="H40" s="8"/>
    </row>
    <row r="41" spans="1:8" ht="11.25">
      <c r="A41" s="8" t="s">
        <v>33</v>
      </c>
      <c r="B41" s="8"/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1.25">
      <c r="A42" s="8" t="s">
        <v>34</v>
      </c>
      <c r="B42" s="8"/>
      <c r="C42" s="9">
        <v>272</v>
      </c>
      <c r="D42" s="9">
        <v>15163</v>
      </c>
      <c r="E42" s="9">
        <v>16221</v>
      </c>
      <c r="F42" s="9">
        <v>10123</v>
      </c>
      <c r="G42" s="9">
        <v>7844</v>
      </c>
      <c r="H42" s="9">
        <v>26148</v>
      </c>
    </row>
    <row r="43" spans="1:8" ht="11.25">
      <c r="A43" s="8" t="s">
        <v>35</v>
      </c>
      <c r="B43" s="8"/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</row>
    <row r="44" spans="1:8" ht="11.25">
      <c r="A44" s="8" t="s">
        <v>36</v>
      </c>
      <c r="B44" s="8"/>
      <c r="C44" s="14">
        <v>0</v>
      </c>
      <c r="D44" s="14">
        <f>D42/D12</f>
        <v>0.3175164904198513</v>
      </c>
      <c r="E44" s="14">
        <f>E42/E12</f>
        <v>0.30816140430867434</v>
      </c>
      <c r="F44" s="14">
        <f>F42/F12</f>
        <v>0.16193172729308636</v>
      </c>
      <c r="G44" s="14">
        <f>G42/G12</f>
        <v>0.15417575721838944</v>
      </c>
      <c r="H44" s="14">
        <f>H42/H12</f>
        <v>0.13169213412975816</v>
      </c>
    </row>
    <row r="45" spans="1:8" ht="11.25">
      <c r="A45" s="15" t="s">
        <v>37</v>
      </c>
      <c r="B45" s="8"/>
      <c r="C45" s="14">
        <v>0.9966</v>
      </c>
      <c r="D45" s="14">
        <f>D42/D12</f>
        <v>0.3175164904198513</v>
      </c>
      <c r="E45" s="14">
        <f>E42/E12</f>
        <v>0.30816140430867434</v>
      </c>
      <c r="F45" s="14">
        <f>F42/F12</f>
        <v>0.16193172729308636</v>
      </c>
      <c r="G45" s="14">
        <f>G42/G12</f>
        <v>0.15417575721838944</v>
      </c>
      <c r="H45" s="14">
        <f>H42/H12</f>
        <v>0.13169213412975816</v>
      </c>
    </row>
    <row r="46" spans="1:8" ht="11.25">
      <c r="A46" s="8" t="s">
        <v>38</v>
      </c>
      <c r="B46" s="8"/>
      <c r="C46" s="14">
        <v>0.9966</v>
      </c>
      <c r="D46" s="14">
        <f>1468/D12</f>
        <v>0.03074023662443723</v>
      </c>
      <c r="E46" s="14">
        <f>1468/E12</f>
        <v>0.027888597591093887</v>
      </c>
      <c r="F46" s="14">
        <f>1468/F12</f>
        <v>0.023482739866269954</v>
      </c>
      <c r="G46" s="14">
        <f>276/G12</f>
        <v>0.005424848163217171</v>
      </c>
      <c r="H46" s="14">
        <f>7844/H12</f>
        <v>0.03950562567362027</v>
      </c>
    </row>
    <row r="47" spans="1:8" ht="11.25">
      <c r="A47" s="4" t="s">
        <v>39</v>
      </c>
      <c r="B47" s="4"/>
      <c r="C47" s="16">
        <v>0</v>
      </c>
      <c r="D47" s="16">
        <v>0.0968</v>
      </c>
      <c r="E47" s="16">
        <v>0.0965</v>
      </c>
      <c r="F47" s="16">
        <v>0.145</v>
      </c>
      <c r="G47" s="16">
        <v>0.0352</v>
      </c>
      <c r="H47" s="16">
        <v>0.3</v>
      </c>
    </row>
    <row r="48" spans="1:8" ht="11.25">
      <c r="A48" s="6" t="s">
        <v>40</v>
      </c>
      <c r="B48" s="8"/>
      <c r="C48" s="8"/>
      <c r="D48" s="8"/>
      <c r="E48" s="8"/>
      <c r="F48" s="8"/>
      <c r="G48" s="8"/>
      <c r="H48" s="8"/>
    </row>
    <row r="49" spans="1:8" ht="11.25">
      <c r="A49" s="8" t="s">
        <v>41</v>
      </c>
      <c r="B49" s="8"/>
      <c r="C49" s="14">
        <f aca="true" t="shared" si="8" ref="C49:H49">+C30/C26</f>
        <v>0.12034770549461567</v>
      </c>
      <c r="D49" s="14">
        <f t="shared" si="8"/>
        <v>0.11247916122682627</v>
      </c>
      <c r="E49" s="14">
        <f t="shared" si="8"/>
        <v>0.11204274361791919</v>
      </c>
      <c r="F49" s="14">
        <f t="shared" si="8"/>
        <v>0.10329408155961896</v>
      </c>
      <c r="G49" s="14">
        <f t="shared" si="8"/>
        <v>0.08445847316284971</v>
      </c>
      <c r="H49" s="14">
        <f t="shared" si="8"/>
        <v>0.058353360001677096</v>
      </c>
    </row>
    <row r="50" spans="1:8" ht="11.25">
      <c r="A50" s="4" t="s">
        <v>42</v>
      </c>
      <c r="B50" s="4"/>
      <c r="C50" s="16">
        <f aca="true" t="shared" si="9" ref="C50:H50">+C30/C27</f>
        <v>0.17647419131563957</v>
      </c>
      <c r="D50" s="16">
        <f t="shared" si="9"/>
        <v>0.1329042424932836</v>
      </c>
      <c r="E50" s="16">
        <f t="shared" si="9"/>
        <v>0.16834863757365479</v>
      </c>
      <c r="F50" s="16">
        <f t="shared" si="9"/>
        <v>0.12386179725687009</v>
      </c>
      <c r="G50" s="16">
        <f t="shared" si="9"/>
        <v>0.09759706597546963</v>
      </c>
      <c r="H50" s="16">
        <f t="shared" si="9"/>
        <v>0.06972793375857679</v>
      </c>
    </row>
    <row r="51" spans="1:8" ht="11.25">
      <c r="A51" s="6" t="s">
        <v>43</v>
      </c>
      <c r="B51" s="8"/>
      <c r="C51" s="8"/>
      <c r="D51" s="8"/>
      <c r="E51" s="8"/>
      <c r="F51" s="8"/>
      <c r="G51" s="8"/>
      <c r="H51" s="8"/>
    </row>
    <row r="52" spans="1:8" ht="11.25">
      <c r="A52" s="8" t="s">
        <v>44</v>
      </c>
      <c r="B52" s="8"/>
      <c r="C52" s="14">
        <f aca="true" t="shared" si="10" ref="C52:H52">C11/C16</f>
        <v>0.0591877191097917</v>
      </c>
      <c r="D52" s="14">
        <f t="shared" si="10"/>
        <v>0.12852736642464416</v>
      </c>
      <c r="E52" s="14">
        <f t="shared" si="10"/>
        <v>0.08039531990981887</v>
      </c>
      <c r="F52" s="14">
        <f t="shared" si="10"/>
        <v>0.14898808397957253</v>
      </c>
      <c r="G52" s="14">
        <f t="shared" si="10"/>
        <v>0.16170458005306423</v>
      </c>
      <c r="H52" s="14">
        <f t="shared" si="10"/>
        <v>0.10083310049096476</v>
      </c>
    </row>
    <row r="53" spans="1:8" ht="11.25">
      <c r="A53" s="8" t="s">
        <v>45</v>
      </c>
      <c r="B53" s="8"/>
      <c r="C53" s="14">
        <f aca="true" t="shared" si="11" ref="C53:H53">C11/C10</f>
        <v>0.04903761357292535</v>
      </c>
      <c r="D53" s="14">
        <f t="shared" si="11"/>
        <v>0.10557207823883932</v>
      </c>
      <c r="E53" s="14">
        <f t="shared" si="11"/>
        <v>0.06533413359025793</v>
      </c>
      <c r="F53" s="14">
        <f t="shared" si="11"/>
        <v>0.12155395239381196</v>
      </c>
      <c r="G53" s="14">
        <f t="shared" si="11"/>
        <v>0.12842079810706483</v>
      </c>
      <c r="H53" s="14">
        <f t="shared" si="11"/>
        <v>0.07682982994290878</v>
      </c>
    </row>
    <row r="54" spans="1:8" ht="11.25">
      <c r="A54" s="4" t="s">
        <v>46</v>
      </c>
      <c r="B54" s="4"/>
      <c r="C54" s="16">
        <f aca="true" t="shared" si="12" ref="C54:H54">(C11+C15)/C16</f>
        <v>0.7166977529955177</v>
      </c>
      <c r="D54" s="16">
        <f t="shared" si="12"/>
        <v>0.7138355140903082</v>
      </c>
      <c r="E54" s="16">
        <f t="shared" si="12"/>
        <v>0.6580210681800513</v>
      </c>
      <c r="F54" s="16">
        <f t="shared" si="12"/>
        <v>0.5692169472290524</v>
      </c>
      <c r="G54" s="16">
        <f t="shared" si="12"/>
        <v>0.648612500543691</v>
      </c>
      <c r="H54" s="16">
        <f t="shared" si="12"/>
        <v>0.13034230679310482</v>
      </c>
    </row>
    <row r="55" spans="1:8" ht="11.25">
      <c r="A55" s="6" t="s">
        <v>47</v>
      </c>
      <c r="B55" s="8"/>
      <c r="C55" s="8"/>
      <c r="D55" s="8"/>
      <c r="E55" s="8"/>
      <c r="F55" s="8"/>
      <c r="G55" s="8"/>
      <c r="H55" s="8"/>
    </row>
    <row r="56" spans="1:8" ht="11.25">
      <c r="A56" s="8" t="s">
        <v>48</v>
      </c>
      <c r="B56" s="8"/>
      <c r="C56" s="17">
        <f>C39/C27</f>
        <v>-0.010033137529937093</v>
      </c>
      <c r="D56" s="17">
        <f>(D39/0.75)/D27</f>
        <v>0.004328881041209809</v>
      </c>
      <c r="E56" s="17">
        <f>(E39/0.5)/E27</f>
        <v>0.007944246702359943</v>
      </c>
      <c r="F56" s="14">
        <f>((F39)/0.25)/F27</f>
        <v>0.010920207287767079</v>
      </c>
      <c r="G56" s="14">
        <f>G39/G27</f>
        <v>-0.010688613953985517</v>
      </c>
      <c r="H56" s="14">
        <f>H39/H27</f>
        <v>0.01732552075623803</v>
      </c>
    </row>
    <row r="57" spans="1:8" ht="11.25">
      <c r="A57" s="8" t="s">
        <v>49</v>
      </c>
      <c r="B57" s="8"/>
      <c r="C57" s="17">
        <f>C39/C26</f>
        <v>-0.006842162424080402</v>
      </c>
      <c r="D57" s="17">
        <f>(D39/0.75)/D26</f>
        <v>0.0036636069656737704</v>
      </c>
      <c r="E57" s="17">
        <f>(E39/0.5)/E26</f>
        <v>0.005287213542910834</v>
      </c>
      <c r="F57" s="14">
        <f>((F39)/0.25)/F26</f>
        <v>0.009106865936163324</v>
      </c>
      <c r="G57" s="14">
        <f>G39/G26</f>
        <v>-0.009249704443037719</v>
      </c>
      <c r="H57" s="14">
        <f>H39/H26</f>
        <v>0.014499244354575894</v>
      </c>
    </row>
    <row r="58" spans="1:8" ht="11.25">
      <c r="A58" s="8" t="s">
        <v>50</v>
      </c>
      <c r="B58" s="8"/>
      <c r="C58" s="17">
        <f>+C39/C30</f>
        <v>-0.05685328520356808</v>
      </c>
      <c r="D58" s="17">
        <f>(D39/0.75)/D30</f>
        <v>0.03257142857142857</v>
      </c>
      <c r="E58" s="17">
        <f>(E39/0.5)/E30</f>
        <v>0.04718925449506076</v>
      </c>
      <c r="F58" s="14">
        <f>((F39)/0.25)/F30</f>
        <v>0.08816445045699013</v>
      </c>
      <c r="G58" s="14">
        <f>G39/G30</f>
        <v>-0.10951777952702009</v>
      </c>
      <c r="H58" s="14">
        <f>H39/H30</f>
        <v>0.248473170253764</v>
      </c>
    </row>
    <row r="59" spans="1:8" ht="11.25">
      <c r="A59" s="8" t="s">
        <v>51</v>
      </c>
      <c r="B59" s="8"/>
      <c r="C59" s="17">
        <f>C32/C26</f>
        <v>0.1427163134194939</v>
      </c>
      <c r="D59" s="17">
        <f>(D32/0.75)/D26</f>
        <v>0.14846178051834147</v>
      </c>
      <c r="E59" s="17">
        <f>(E32/0.5)/E26</f>
        <v>0.1499689455831064</v>
      </c>
      <c r="F59" s="14">
        <f>((F32)/0.25)/F26</f>
        <v>0.11975256045398</v>
      </c>
      <c r="G59" s="14">
        <f>G32/G26</f>
        <v>0.11773139436403947</v>
      </c>
      <c r="H59" s="14">
        <f>H32/H26</f>
        <v>0.12391060323946052</v>
      </c>
    </row>
    <row r="60" spans="1:8" ht="11.25">
      <c r="A60" s="8" t="s">
        <v>52</v>
      </c>
      <c r="B60" s="8"/>
      <c r="C60" s="17">
        <f>C33/C26</f>
        <v>0.1380546203393512</v>
      </c>
      <c r="D60" s="17">
        <f>(D33/0.75)/D26</f>
        <v>0.13608907278339058</v>
      </c>
      <c r="E60" s="17">
        <f>(E33/0.5)/E26</f>
        <v>0.13999968149316006</v>
      </c>
      <c r="F60" s="14">
        <f>((F33)/0.25)/F26</f>
        <v>0.1068557113886948</v>
      </c>
      <c r="G60" s="14">
        <f>G33/G26</f>
        <v>0.12413681469084308</v>
      </c>
      <c r="H60" s="14">
        <f>H33/H26</f>
        <v>0.18301293840298674</v>
      </c>
    </row>
    <row r="61" spans="1:8" ht="11.25">
      <c r="A61" s="8" t="s">
        <v>53</v>
      </c>
      <c r="B61" s="8"/>
      <c r="C61" s="17">
        <f>C34/C26</f>
        <v>0.004661693080142691</v>
      </c>
      <c r="D61" s="17">
        <f>(D34/0.75)/D26</f>
        <v>0.01237270773495089</v>
      </c>
      <c r="E61" s="17">
        <f>(E34/0.5)/E26</f>
        <v>0.009969264089946332</v>
      </c>
      <c r="F61" s="14">
        <f>((F34)/0.25)/F26</f>
        <v>0.012896849065285185</v>
      </c>
      <c r="G61" s="14">
        <f>G34/G26</f>
        <v>-0.00640542032680362</v>
      </c>
      <c r="H61" s="14">
        <f>H34/H26</f>
        <v>-0.05910233516352625</v>
      </c>
    </row>
    <row r="62" spans="1:8" ht="11.25">
      <c r="A62" s="8" t="s">
        <v>54</v>
      </c>
      <c r="B62" s="8"/>
      <c r="C62" s="17">
        <f>C37/C36</f>
        <v>1.9086460032626427</v>
      </c>
      <c r="D62" s="17">
        <f>(D37/0.75)/(D36/0.75)</f>
        <v>0.7038961038961039</v>
      </c>
      <c r="E62" s="17">
        <f>(E37/0.5)/(E36/0.5)</f>
        <v>0.4696485623003195</v>
      </c>
      <c r="F62" s="14">
        <f>(F37/0.25)/(F36/0.25)</f>
        <v>0.2938689217758985</v>
      </c>
      <c r="G62" s="14">
        <f>G37/G36</f>
        <v>0.8873321657910099</v>
      </c>
      <c r="H62" s="14">
        <f>H37/H36</f>
        <v>3.1096938775510203</v>
      </c>
    </row>
    <row r="63" spans="1:8" ht="11.25">
      <c r="A63" s="4" t="s">
        <v>55</v>
      </c>
      <c r="B63" s="4"/>
      <c r="C63" s="18">
        <f>C35/C26</f>
        <v>0.00045948587707499643</v>
      </c>
      <c r="D63" s="18">
        <f>(D35/0.75)/D26</f>
        <v>0</v>
      </c>
      <c r="E63" s="18">
        <f>(E35/0.5)/E26</f>
        <v>0</v>
      </c>
      <c r="F63" s="16">
        <f>(F35/0.25)/F26</f>
        <v>0</v>
      </c>
      <c r="G63" s="16">
        <f>G35/G26</f>
        <v>0.016308385146130876</v>
      </c>
      <c r="H63" s="16">
        <f>H35/H26</f>
        <v>0.06059647390879274</v>
      </c>
    </row>
    <row r="64" spans="1:8" ht="11.25">
      <c r="A64" s="6" t="s">
        <v>56</v>
      </c>
      <c r="B64" s="8"/>
      <c r="C64" s="8"/>
      <c r="D64" s="8"/>
      <c r="E64" s="8"/>
      <c r="F64" s="8"/>
      <c r="G64" s="8"/>
      <c r="H64" s="8"/>
    </row>
    <row r="65" spans="1:8" ht="11.25">
      <c r="A65" s="8" t="s">
        <v>57</v>
      </c>
      <c r="B65" s="8"/>
      <c r="C65" s="9">
        <v>5</v>
      </c>
      <c r="D65" s="9">
        <v>5</v>
      </c>
      <c r="E65" s="9">
        <v>5</v>
      </c>
      <c r="F65" s="9">
        <v>5</v>
      </c>
      <c r="G65" s="9">
        <v>5</v>
      </c>
      <c r="H65" s="9">
        <v>5</v>
      </c>
    </row>
    <row r="66" spans="1:8" ht="11.25">
      <c r="A66" s="8" t="s">
        <v>58</v>
      </c>
      <c r="B66" s="8"/>
      <c r="C66" s="9">
        <v>1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</row>
    <row r="67" spans="1:8" ht="11.25">
      <c r="A67" s="8" t="s">
        <v>59</v>
      </c>
      <c r="B67" s="8"/>
      <c r="C67" s="9">
        <f aca="true" t="shared" si="13" ref="C67:H67">C12/C65</f>
        <v>54.6</v>
      </c>
      <c r="D67" s="9">
        <f t="shared" si="13"/>
        <v>9551</v>
      </c>
      <c r="E67" s="9">
        <f t="shared" si="13"/>
        <v>10527.6</v>
      </c>
      <c r="F67" s="9">
        <f t="shared" si="13"/>
        <v>12502.8</v>
      </c>
      <c r="G67" s="9">
        <f t="shared" si="13"/>
        <v>10175.4</v>
      </c>
      <c r="H67" s="9">
        <f t="shared" si="13"/>
        <v>39710.8</v>
      </c>
    </row>
    <row r="68" spans="1:8" ht="11.25">
      <c r="A68" s="8" t="s">
        <v>60</v>
      </c>
      <c r="B68" s="8"/>
      <c r="C68" s="9">
        <f aca="true" t="shared" si="14" ref="C68:H68">+C16/C65</f>
        <v>20480.6</v>
      </c>
      <c r="D68" s="9">
        <f t="shared" si="14"/>
        <v>20879.6</v>
      </c>
      <c r="E68" s="9">
        <f t="shared" si="14"/>
        <v>20580.8</v>
      </c>
      <c r="F68" s="9">
        <f t="shared" si="14"/>
        <v>21148</v>
      </c>
      <c r="G68" s="9">
        <f t="shared" si="14"/>
        <v>18392.8</v>
      </c>
      <c r="H68" s="9">
        <f t="shared" si="14"/>
        <v>35073.8</v>
      </c>
    </row>
    <row r="69" spans="1:8" ht="11.25">
      <c r="A69" s="4" t="s">
        <v>61</v>
      </c>
      <c r="B69" s="4"/>
      <c r="C69" s="10">
        <f aca="true" t="shared" si="15" ref="C69:H69">+C39/C65</f>
        <v>-163.8</v>
      </c>
      <c r="D69" s="10">
        <f t="shared" si="15"/>
        <v>68.4</v>
      </c>
      <c r="E69" s="10">
        <f t="shared" si="15"/>
        <v>66.4</v>
      </c>
      <c r="F69" s="10">
        <f t="shared" si="15"/>
        <v>66.8</v>
      </c>
      <c r="G69" s="10">
        <f t="shared" si="15"/>
        <v>-320</v>
      </c>
      <c r="H69" s="10">
        <f t="shared" si="15"/>
        <v>760.8</v>
      </c>
    </row>
    <row r="70" spans="1:8" ht="11.25">
      <c r="A70" s="6" t="s">
        <v>62</v>
      </c>
      <c r="B70" s="8"/>
      <c r="C70" s="8"/>
      <c r="D70" s="8"/>
      <c r="E70" s="8"/>
      <c r="F70" s="8"/>
      <c r="G70" s="8"/>
      <c r="H70" s="8"/>
    </row>
    <row r="71" spans="1:8" ht="11.25">
      <c r="A71" s="8" t="s">
        <v>63</v>
      </c>
      <c r="B71" s="8"/>
      <c r="C71" s="14">
        <f>+(C10/G10)-1</f>
        <v>0.06735809462948739</v>
      </c>
      <c r="D71" s="14">
        <f>+(D10/121837)-1</f>
        <v>0.043180642990224616</v>
      </c>
      <c r="E71" s="14">
        <f>+(E10/124546)-1</f>
        <v>0.016700656785444634</v>
      </c>
      <c r="F71" s="14">
        <f>+(F10/163800)-1</f>
        <v>-0.2087606837606838</v>
      </c>
      <c r="G71" s="14">
        <f>+(G10/H10)-1</f>
        <v>-0.496871714213714</v>
      </c>
      <c r="H71" s="14">
        <f>+(H10/294559)-1</f>
        <v>-0.21863531584504292</v>
      </c>
    </row>
    <row r="72" spans="1:8" ht="11.25">
      <c r="A72" s="8" t="s">
        <v>64</v>
      </c>
      <c r="B72" s="8"/>
      <c r="C72" s="14">
        <f aca="true" t="shared" si="16" ref="C72:H72">SUM(C73:C74)</f>
        <v>-0.9946341175776874</v>
      </c>
      <c r="D72" s="14">
        <f t="shared" si="16"/>
        <v>-0.32273939187656</v>
      </c>
      <c r="E72" s="14">
        <f t="shared" si="16"/>
        <v>-0.3564958006821599</v>
      </c>
      <c r="F72" s="14">
        <f t="shared" si="16"/>
        <v>-0.5292478689117142</v>
      </c>
      <c r="G72" s="14">
        <f t="shared" si="16"/>
        <v>-0.7437624021676723</v>
      </c>
      <c r="H72" s="14">
        <f t="shared" si="16"/>
        <v>0.05318042943223289</v>
      </c>
    </row>
    <row r="73" spans="1:8" ht="11.25">
      <c r="A73" s="8"/>
      <c r="B73" s="8" t="s">
        <v>13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</row>
    <row r="74" spans="1:8" ht="11.25">
      <c r="A74" s="8"/>
      <c r="B74" s="8" t="s">
        <v>14</v>
      </c>
      <c r="C74" s="14">
        <f>+(C14/G14)-1</f>
        <v>-0.9946341175776874</v>
      </c>
      <c r="D74" s="14">
        <f>+(D14/70512)-1</f>
        <v>-0.32273939187656</v>
      </c>
      <c r="E74" s="14">
        <f>+(E14/81799)-1</f>
        <v>-0.3564958006821599</v>
      </c>
      <c r="F74" s="14">
        <f>+(F14/132796)-1</f>
        <v>-0.5292478689117142</v>
      </c>
      <c r="G74" s="14">
        <f>+(G14/H14)-1</f>
        <v>-0.7437624021676723</v>
      </c>
      <c r="H74" s="17">
        <f>+(H14/188528)-1</f>
        <v>0.05318042943223289</v>
      </c>
    </row>
    <row r="75" spans="1:8" ht="11.25">
      <c r="A75" s="8" t="s">
        <v>65</v>
      </c>
      <c r="B75" s="8"/>
      <c r="C75" s="14">
        <f aca="true" t="shared" si="17" ref="C75:H75">SUM(C76:C77)</f>
        <v>0.11351180896872681</v>
      </c>
      <c r="D75" s="14">
        <f t="shared" si="17"/>
        <v>0.06534006837083517</v>
      </c>
      <c r="E75" s="14">
        <f t="shared" si="17"/>
        <v>0.06906582446808507</v>
      </c>
      <c r="F75" s="14">
        <f t="shared" si="17"/>
        <v>-0.12545798906615724</v>
      </c>
      <c r="G75" s="14">
        <f t="shared" si="17"/>
        <v>-0.47559716939709984</v>
      </c>
      <c r="H75" s="14">
        <f t="shared" si="17"/>
        <v>-0.3446868775947177</v>
      </c>
    </row>
    <row r="76" spans="1:8" ht="11.25">
      <c r="A76" s="8"/>
      <c r="B76" s="8" t="s">
        <v>13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</row>
    <row r="77" spans="1:8" ht="11.25">
      <c r="A77" s="8"/>
      <c r="B77" s="8" t="s">
        <v>14</v>
      </c>
      <c r="C77" s="14">
        <f>+(C21/G21)-1</f>
        <v>0.11351180896872681</v>
      </c>
      <c r="D77" s="14">
        <f>+(D21/97995)-1</f>
        <v>0.06534006837083517</v>
      </c>
      <c r="E77" s="14">
        <f>+(E21/96256)-1</f>
        <v>0.06906582446808507</v>
      </c>
      <c r="F77" s="14">
        <f>+(F21/120909)-1</f>
        <v>-0.12545798906615724</v>
      </c>
      <c r="G77" s="14">
        <f>+(G21/H21)-1</f>
        <v>-0.47559716939709984</v>
      </c>
      <c r="H77" s="14">
        <f>+(H21/267611)-1</f>
        <v>-0.3446868775947177</v>
      </c>
    </row>
    <row r="78" spans="1:8" ht="11.25">
      <c r="A78" s="8" t="s">
        <v>66</v>
      </c>
      <c r="B78" s="8"/>
      <c r="C78" s="19">
        <f>+(C24/G24)-1</f>
        <v>0.08609079719064505</v>
      </c>
      <c r="D78" s="19">
        <f>+(D24/13847)-1</f>
        <v>0.02209864952697327</v>
      </c>
      <c r="E78" s="19">
        <f>+(E24/14000)-1</f>
        <v>0.010142857142857231</v>
      </c>
      <c r="F78" s="19">
        <f>+(F24/16176)-1</f>
        <v>-0.12642185954500496</v>
      </c>
      <c r="G78" s="19">
        <f>+(G24/H24)-1</f>
        <v>-0.10364745586708202</v>
      </c>
      <c r="H78" s="19">
        <f>+(H24/15211)-1</f>
        <v>0.012951153770297763</v>
      </c>
    </row>
    <row r="79" spans="1:8" ht="11.25">
      <c r="A79" s="4" t="s">
        <v>67</v>
      </c>
      <c r="B79" s="4"/>
      <c r="C79" s="16">
        <f>+(C39/G39)-1</f>
        <v>-0.48812500000000003</v>
      </c>
      <c r="D79" s="16">
        <f>+(D39/-1563)-1</f>
        <v>-1.2188099808061421</v>
      </c>
      <c r="E79" s="16">
        <f>+(E39/-1411)-1</f>
        <v>-1.2352941176470589</v>
      </c>
      <c r="F79" s="16">
        <f>+(F39/14768)-1</f>
        <v>-0.9773835319609967</v>
      </c>
      <c r="G79" s="16">
        <f>+(G39/H39)-1</f>
        <v>-1.4206098843322819</v>
      </c>
      <c r="H79" s="16">
        <f>+(H39/605)-1</f>
        <v>5.287603305785124</v>
      </c>
    </row>
    <row r="80" spans="1:8" ht="9">
      <c r="A80" s="2"/>
      <c r="B80" s="2"/>
      <c r="C80" s="2"/>
      <c r="D80" s="2"/>
      <c r="E80" s="2"/>
      <c r="F80" s="2"/>
      <c r="G80" s="2"/>
      <c r="H80" s="2"/>
    </row>
    <row r="81" spans="1:8" ht="9">
      <c r="A81" s="2"/>
      <c r="B81" s="2"/>
      <c r="C81" s="2"/>
      <c r="D81" s="2"/>
      <c r="E81" s="2"/>
      <c r="F81" s="2"/>
      <c r="G81" s="2"/>
      <c r="H81" s="2"/>
    </row>
    <row r="82" spans="1:8" ht="9">
      <c r="A82" s="2"/>
      <c r="B82" s="2"/>
      <c r="C82" s="2"/>
      <c r="D82" s="2"/>
      <c r="E82" s="2"/>
      <c r="F82" s="2"/>
      <c r="G82" s="2"/>
      <c r="H82" s="2"/>
    </row>
    <row r="83" spans="1:8" ht="9">
      <c r="A83" s="2"/>
      <c r="B83" s="2"/>
      <c r="C83" s="2"/>
      <c r="D83" s="2"/>
      <c r="E83" s="2"/>
      <c r="F83" s="2"/>
      <c r="G83" s="2"/>
      <c r="H83" s="2"/>
    </row>
    <row r="84" spans="1:8" ht="9">
      <c r="A84" s="2"/>
      <c r="B84" s="2"/>
      <c r="C84" s="2"/>
      <c r="D84" s="2"/>
      <c r="E84" s="2"/>
      <c r="F84" s="2"/>
      <c r="G84" s="2"/>
      <c r="H84" s="2"/>
    </row>
    <row r="85" spans="1:8" ht="9">
      <c r="A85" s="2"/>
      <c r="B85" s="2"/>
      <c r="C85" s="2"/>
      <c r="D85" s="2"/>
      <c r="E85" s="2"/>
      <c r="F85" s="2"/>
      <c r="G85" s="2"/>
      <c r="H85" s="2"/>
    </row>
    <row r="86" spans="1:8" ht="9">
      <c r="A86" s="2"/>
      <c r="B86" s="2"/>
      <c r="C86" s="2"/>
      <c r="D86" s="2"/>
      <c r="E86" s="2"/>
      <c r="F86" s="2"/>
      <c r="G86" s="2"/>
      <c r="H86" s="2"/>
    </row>
    <row r="87" spans="1:8" ht="9">
      <c r="A87" s="2"/>
      <c r="B87" s="2"/>
      <c r="C87" s="2"/>
      <c r="D87" s="2"/>
      <c r="E87" s="2"/>
      <c r="F87" s="2"/>
      <c r="G87" s="2"/>
      <c r="H87" s="2"/>
    </row>
    <row r="88" spans="1:8" ht="9">
      <c r="A88" s="2"/>
      <c r="B88" s="2"/>
      <c r="C88" s="2"/>
      <c r="D88" s="2"/>
      <c r="E88" s="2"/>
      <c r="F88" s="2"/>
      <c r="G88" s="2"/>
      <c r="H88" s="2"/>
    </row>
    <row r="89" spans="1:8" ht="9">
      <c r="A89" s="2"/>
      <c r="B89" s="2"/>
      <c r="C89" s="2"/>
      <c r="D89" s="2"/>
      <c r="E89" s="2"/>
      <c r="F89" s="2"/>
      <c r="G89" s="2"/>
      <c r="H89" s="2"/>
    </row>
    <row r="90" spans="1:8" ht="9">
      <c r="A90" s="2"/>
      <c r="B90" s="2"/>
      <c r="C90" s="2"/>
      <c r="D90" s="2"/>
      <c r="E90" s="2"/>
      <c r="F90" s="2"/>
      <c r="G90" s="2"/>
      <c r="H90" s="2"/>
    </row>
    <row r="91" spans="1:8" ht="9">
      <c r="A91" s="2"/>
      <c r="B91" s="2"/>
      <c r="C91" s="2"/>
      <c r="D91" s="2"/>
      <c r="E91" s="2"/>
      <c r="F91" s="2"/>
      <c r="G91" s="2"/>
      <c r="H91" s="2"/>
    </row>
    <row r="92" spans="1:8" ht="9">
      <c r="A92" s="2"/>
      <c r="B92" s="2"/>
      <c r="C92" s="2"/>
      <c r="D92" s="2"/>
      <c r="E92" s="2"/>
      <c r="F92" s="2"/>
      <c r="G92" s="2"/>
      <c r="H92" s="2"/>
    </row>
  </sheetData>
  <sheetProtection password="CD66" sheet="1" objects="1" scenarios="1"/>
  <printOptions horizontalCentered="1"/>
  <pageMargins left="0.75" right="0.75" top="1" bottom="1" header="0" footer="0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2002-05-03T14:31:58Z</cp:lastPrinted>
  <dcterms:created xsi:type="dcterms:W3CDTF">2002-03-08T16:01:27Z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