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Commerce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<sst xmlns="http://schemas.openxmlformats.org/spreadsheetml/2006/main" count="80" uniqueCount="68">
  <si>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19-26    COMMERCE OVERSEAS, S.A.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</si>
  <si>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</si>
  <si>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</si>
  <si>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</si>
  <si>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</si>
  <si>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</si>
  <si>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</si>
  <si>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</si>
  <si>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</si>
  <si>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</si>
  <si>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</si>
  <si>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</si>
  <si>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</si>
  <si>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</si>
  <si>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</si>
  <si>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</si>
  <si>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</si>
  <si>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</si>
  <si>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</si>
  <si>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</si>
  <si>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</si>
  <si>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</si>
  <si>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</si>
  <si>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</si>
  <si>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</si>
  <si>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</si>
  <si>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</si>
  <si>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</si>
  <si>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</si>
  <si>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</si>
  <si>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</si>
  <si>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</si>
  <si>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</si>
  <si>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</si>
  <si>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</si>
  <si>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</si>
  <si>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</si>
  <si>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</si>
  <si>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</si>
  <si>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</si>
  <si>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</si>
  <si>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Total de activos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</si>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</sst>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36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</numFmts>
  <fonts count="5">
    <font>
      <sz val="10"/>
      <name val="Arial"/>
      <family val="0"/>
    </font>
    <font>
      <sz val="7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179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4" fillId="0" borderId="0" xfId="0" applyFont="1" applyBorder="1" applyAlignment="1">
      <alignment/>
    </xf>
    <xf numFmtId="10" fontId="4" fillId="0" borderId="1" xfId="19" applyNumberFormat="1" applyFont="1" applyBorder="1" applyAlignment="1">
      <alignment/>
    </xf>
    <xf numFmtId="10" fontId="4" fillId="0" borderId="0" xfId="19" applyNumberFormat="1" applyFont="1" applyFill="1" applyAlignment="1">
      <alignment/>
    </xf>
    <xf numFmtId="10" fontId="4" fillId="0" borderId="1" xfId="19" applyNumberFormat="1" applyFont="1" applyFill="1" applyBorder="1" applyAlignment="1">
      <alignment/>
    </xf>
    <xf numFmtId="10" fontId="4" fillId="0" borderId="0" xfId="19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2562225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4" sqref="C4"/>
    </sheetView>
  </sheetViews>
  <sheetFormatPr defaultColWidth="11.421875" defaultRowHeight="12.75"/>
  <cols>
    <col min="1" max="1" width="3.421875" style="1" customWidth="1"/>
    <col min="2" max="2" width="38.7109375" style="1" customWidth="1"/>
    <col min="3" max="3" width="11.00390625" style="1" customWidth="1"/>
    <col min="4" max="4" width="8.7109375" style="1" customWidth="1"/>
    <col min="5" max="5" width="8.57421875" style="1" customWidth="1"/>
    <col min="6" max="6" width="9.8515625" style="1" customWidth="1"/>
    <col min="7" max="16384" width="11.421875" style="1" customWidth="1"/>
  </cols>
  <sheetData>
    <row r="1" spans="2:8" ht="11.25">
      <c r="B1" s="16"/>
      <c r="C1" s="16"/>
      <c r="D1" s="16"/>
      <c r="E1" s="16"/>
      <c r="F1" s="16"/>
      <c r="G1" s="16"/>
      <c r="H1" s="16"/>
    </row>
    <row r="2" spans="2:8" ht="11.25">
      <c r="B2" s="16"/>
      <c r="C2" s="16"/>
      <c r="D2" s="16"/>
      <c r="E2" s="16"/>
      <c r="F2" s="16" t="s">
        <v>0</v>
      </c>
      <c r="G2" s="16"/>
      <c r="H2" s="16"/>
    </row>
    <row r="3" spans="2:8" ht="11.25">
      <c r="B3" s="17"/>
      <c r="C3" s="17"/>
      <c r="D3" s="17"/>
      <c r="E3" s="17"/>
      <c r="F3" s="16" t="s">
        <v>1</v>
      </c>
      <c r="G3" s="17"/>
      <c r="H3" s="17"/>
    </row>
    <row r="4" spans="1:8" ht="11.25">
      <c r="A4" s="17"/>
      <c r="B4" s="17"/>
      <c r="C4" s="17"/>
      <c r="D4" s="17"/>
      <c r="E4" s="17"/>
      <c r="F4" s="17" t="s">
        <v>2</v>
      </c>
      <c r="G4" s="17"/>
      <c r="H4" s="17"/>
    </row>
    <row r="5" spans="1:8" ht="11.25">
      <c r="A5" s="17"/>
      <c r="B5" s="17"/>
      <c r="C5" s="17"/>
      <c r="D5" s="17"/>
      <c r="E5" s="17"/>
      <c r="F5" s="17"/>
      <c r="G5" s="17"/>
      <c r="H5" s="17"/>
    </row>
    <row r="6" spans="1:8" ht="11.25">
      <c r="A6" s="17"/>
      <c r="B6" s="17"/>
      <c r="C6" s="17"/>
      <c r="D6" s="17"/>
      <c r="E6" s="17"/>
      <c r="F6" s="17"/>
      <c r="G6" s="17"/>
      <c r="H6" s="17"/>
    </row>
    <row r="7" spans="1:8" ht="11.25">
      <c r="A7" s="18"/>
      <c r="B7" s="18"/>
      <c r="C7" s="18"/>
      <c r="D7" s="18"/>
      <c r="E7" s="18"/>
      <c r="F7" s="18"/>
      <c r="G7" s="18"/>
      <c r="H7" s="18"/>
    </row>
    <row r="8" spans="1:8" ht="11.25">
      <c r="A8" s="4"/>
      <c r="B8" s="4"/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</row>
    <row r="9" spans="1:8" ht="11.25">
      <c r="A9" s="5" t="s">
        <v>9</v>
      </c>
      <c r="B9" s="5"/>
      <c r="C9" s="6"/>
      <c r="D9" s="6"/>
      <c r="E9" s="6"/>
      <c r="F9" s="6"/>
      <c r="G9" s="6"/>
      <c r="H9" s="6"/>
    </row>
    <row r="10" spans="1:8" ht="11.25">
      <c r="A10" s="7" t="s">
        <v>10</v>
      </c>
      <c r="B10" s="7"/>
      <c r="C10" s="8">
        <v>152085</v>
      </c>
      <c r="D10" s="8">
        <v>167296</v>
      </c>
      <c r="E10" s="8">
        <v>172674</v>
      </c>
      <c r="F10" s="8">
        <v>181544</v>
      </c>
      <c r="G10" s="8">
        <v>184329</v>
      </c>
      <c r="H10" s="8">
        <v>182753</v>
      </c>
    </row>
    <row r="11" spans="1:8" ht="11.25">
      <c r="A11" s="7" t="s">
        <v>11</v>
      </c>
      <c r="B11" s="7"/>
      <c r="C11" s="8">
        <v>4780</v>
      </c>
      <c r="D11" s="8">
        <v>9498</v>
      </c>
      <c r="E11" s="8">
        <v>12537</v>
      </c>
      <c r="F11" s="8">
        <v>7955</v>
      </c>
      <c r="G11" s="8">
        <v>4450</v>
      </c>
      <c r="H11" s="8">
        <v>6908</v>
      </c>
    </row>
    <row r="12" spans="1:8" ht="11.25">
      <c r="A12" s="7" t="s">
        <v>12</v>
      </c>
      <c r="B12" s="7"/>
      <c r="C12" s="8">
        <f aca="true" t="shared" si="0" ref="C12:H12">C13+C14</f>
        <v>139246</v>
      </c>
      <c r="D12" s="8">
        <f t="shared" si="0"/>
        <v>149382</v>
      </c>
      <c r="E12" s="8">
        <f t="shared" si="0"/>
        <v>151366</v>
      </c>
      <c r="F12" s="8">
        <f t="shared" si="0"/>
        <v>157781</v>
      </c>
      <c r="G12" s="8">
        <f t="shared" si="0"/>
        <v>164910</v>
      </c>
      <c r="H12" s="8">
        <f t="shared" si="0"/>
        <v>161693</v>
      </c>
    </row>
    <row r="13" spans="1:8" ht="11.25">
      <c r="A13" s="7"/>
      <c r="B13" s="7" t="s">
        <v>13</v>
      </c>
      <c r="C13" s="8"/>
      <c r="D13" s="8"/>
      <c r="E13" s="8">
        <v>0</v>
      </c>
      <c r="F13" s="8">
        <v>0</v>
      </c>
      <c r="G13" s="8">
        <v>0</v>
      </c>
      <c r="H13" s="8">
        <v>0</v>
      </c>
    </row>
    <row r="14" spans="1:8" ht="11.25">
      <c r="A14" s="7"/>
      <c r="B14" s="7" t="s">
        <v>14</v>
      </c>
      <c r="C14" s="8">
        <v>139246</v>
      </c>
      <c r="D14" s="8">
        <v>149382</v>
      </c>
      <c r="E14" s="8">
        <v>151366</v>
      </c>
      <c r="F14" s="8">
        <v>157781</v>
      </c>
      <c r="G14" s="8">
        <v>164910</v>
      </c>
      <c r="H14" s="8">
        <v>161693</v>
      </c>
    </row>
    <row r="15" spans="1:8" ht="11.25">
      <c r="A15" s="7" t="s">
        <v>15</v>
      </c>
      <c r="B15" s="7"/>
      <c r="C15" s="8">
        <v>0</v>
      </c>
      <c r="D15" s="8">
        <v>288</v>
      </c>
      <c r="E15" s="8">
        <v>288</v>
      </c>
      <c r="F15" s="8">
        <v>288</v>
      </c>
      <c r="G15" s="8">
        <v>292</v>
      </c>
      <c r="H15" s="8">
        <v>2303</v>
      </c>
    </row>
    <row r="16" spans="1:8" ht="11.25">
      <c r="A16" s="7" t="s">
        <v>16</v>
      </c>
      <c r="B16" s="7"/>
      <c r="C16" s="8">
        <f aca="true" t="shared" si="1" ref="C16:H16">C17+C21</f>
        <v>122961</v>
      </c>
      <c r="D16" s="8">
        <f t="shared" si="1"/>
        <v>136162</v>
      </c>
      <c r="E16" s="8">
        <f t="shared" si="1"/>
        <v>142073</v>
      </c>
      <c r="F16" s="8">
        <f t="shared" si="1"/>
        <v>149361</v>
      </c>
      <c r="G16" s="8">
        <f t="shared" si="1"/>
        <v>152969</v>
      </c>
      <c r="H16" s="8">
        <f t="shared" si="1"/>
        <v>148828</v>
      </c>
    </row>
    <row r="17" spans="1:8" ht="11.25">
      <c r="A17" s="7"/>
      <c r="B17" s="7" t="s">
        <v>13</v>
      </c>
      <c r="C17" s="8">
        <f aca="true" t="shared" si="2" ref="C17:H17">SUM(C18:C20)</f>
        <v>0</v>
      </c>
      <c r="D17" s="8">
        <f t="shared" si="2"/>
        <v>0</v>
      </c>
      <c r="E17" s="8">
        <f t="shared" si="2"/>
        <v>0</v>
      </c>
      <c r="F17" s="8">
        <f t="shared" si="2"/>
        <v>0</v>
      </c>
      <c r="G17" s="8">
        <f t="shared" si="2"/>
        <v>0</v>
      </c>
      <c r="H17" s="8">
        <f t="shared" si="2"/>
        <v>0</v>
      </c>
    </row>
    <row r="18" spans="1:8" ht="11.25">
      <c r="A18" s="7"/>
      <c r="B18" s="7" t="s">
        <v>17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1.25">
      <c r="A19" s="7"/>
      <c r="B19" s="7" t="s">
        <v>18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1.25">
      <c r="A20" s="7"/>
      <c r="B20" s="7" t="s">
        <v>19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1" spans="1:8" ht="11.25">
      <c r="A21" s="7"/>
      <c r="B21" s="7" t="s">
        <v>14</v>
      </c>
      <c r="C21" s="8">
        <f aca="true" t="shared" si="3" ref="C21:H21">SUM(C22:C23)</f>
        <v>122961</v>
      </c>
      <c r="D21" s="8">
        <f t="shared" si="3"/>
        <v>136162</v>
      </c>
      <c r="E21" s="8">
        <f t="shared" si="3"/>
        <v>142073</v>
      </c>
      <c r="F21" s="8">
        <f t="shared" si="3"/>
        <v>149361</v>
      </c>
      <c r="G21" s="8">
        <f t="shared" si="3"/>
        <v>152969</v>
      </c>
      <c r="H21" s="8">
        <f t="shared" si="3"/>
        <v>148828</v>
      </c>
    </row>
    <row r="22" spans="1:8" ht="11.25">
      <c r="A22" s="7"/>
      <c r="B22" s="7" t="s">
        <v>18</v>
      </c>
      <c r="C22" s="8">
        <f>20305+102656</f>
        <v>122961</v>
      </c>
      <c r="D22" s="8">
        <v>136162</v>
      </c>
      <c r="E22" s="8">
        <v>142073</v>
      </c>
      <c r="F22" s="8">
        <v>149361</v>
      </c>
      <c r="G22" s="8">
        <v>152969</v>
      </c>
      <c r="H22" s="8">
        <v>148828</v>
      </c>
    </row>
    <row r="23" spans="1:8" ht="11.25">
      <c r="A23" s="7"/>
      <c r="B23" s="7" t="s">
        <v>19</v>
      </c>
      <c r="C23" s="8"/>
      <c r="D23" s="8"/>
      <c r="E23" s="8"/>
      <c r="F23" s="8"/>
      <c r="G23" s="8"/>
      <c r="H23" s="8"/>
    </row>
    <row r="24" spans="1:8" ht="11.25">
      <c r="A24" s="3" t="s">
        <v>20</v>
      </c>
      <c r="B24" s="3"/>
      <c r="C24" s="9">
        <v>8636</v>
      </c>
      <c r="D24" s="9">
        <v>9080</v>
      </c>
      <c r="E24" s="9">
        <v>9319</v>
      </c>
      <c r="F24" s="9">
        <v>9389</v>
      </c>
      <c r="G24" s="9">
        <v>9524</v>
      </c>
      <c r="H24" s="9">
        <v>9206</v>
      </c>
    </row>
    <row r="25" spans="1:8" ht="11.25">
      <c r="A25" s="5" t="s">
        <v>21</v>
      </c>
      <c r="B25" s="7"/>
      <c r="C25" s="8"/>
      <c r="D25" s="8"/>
      <c r="E25" s="8"/>
      <c r="F25" s="8"/>
      <c r="G25" s="8"/>
      <c r="H25" s="8"/>
    </row>
    <row r="26" spans="1:8" ht="11.25">
      <c r="A26" s="7" t="s">
        <v>10</v>
      </c>
      <c r="B26" s="7"/>
      <c r="C26" s="8">
        <f>+(C10+G10)/2</f>
        <v>168207</v>
      </c>
      <c r="D26" s="8">
        <f>+(187129+D10)/2</f>
        <v>177212.5</v>
      </c>
      <c r="E26" s="8">
        <f>+(196021+E10)/2</f>
        <v>184347.5</v>
      </c>
      <c r="F26" s="8">
        <f>+(191756+F10)/2</f>
        <v>186650</v>
      </c>
      <c r="G26" s="8">
        <f>+(G10+H10)/2</f>
        <v>183541</v>
      </c>
      <c r="H26" s="8">
        <f>+(182753+122145)/2</f>
        <v>152449</v>
      </c>
    </row>
    <row r="27" spans="1:8" ht="11.25">
      <c r="A27" s="7" t="s">
        <v>22</v>
      </c>
      <c r="B27" s="7"/>
      <c r="C27" s="8">
        <f aca="true" t="shared" si="4" ref="C27:H27">C28+C29</f>
        <v>152224</v>
      </c>
      <c r="D27" s="8">
        <f t="shared" si="4"/>
        <v>160765.5</v>
      </c>
      <c r="E27" s="8">
        <f t="shared" si="4"/>
        <v>163324</v>
      </c>
      <c r="F27" s="8">
        <f t="shared" si="4"/>
        <v>168111</v>
      </c>
      <c r="G27" s="8">
        <f t="shared" si="4"/>
        <v>164599</v>
      </c>
      <c r="H27" s="8">
        <f t="shared" si="4"/>
        <v>134840</v>
      </c>
    </row>
    <row r="28" spans="1:8" ht="11.25">
      <c r="A28" s="7"/>
      <c r="B28" s="7" t="s">
        <v>12</v>
      </c>
      <c r="C28" s="8">
        <f>+(C12+G12)/2</f>
        <v>152078</v>
      </c>
      <c r="D28" s="8">
        <f>+(170529+D12)/2</f>
        <v>159955.5</v>
      </c>
      <c r="E28" s="8">
        <f>+(171243+E12)/2</f>
        <v>161304.5</v>
      </c>
      <c r="F28" s="8">
        <f>+(171850+F12)/2</f>
        <v>164815.5</v>
      </c>
      <c r="G28" s="8">
        <f>+(G12+H12)/2</f>
        <v>163301.5</v>
      </c>
      <c r="H28" s="8">
        <f>+(161693+93752)/2</f>
        <v>127722.5</v>
      </c>
    </row>
    <row r="29" spans="1:8" ht="11.25">
      <c r="A29" s="7"/>
      <c r="B29" s="7" t="s">
        <v>15</v>
      </c>
      <c r="C29" s="8">
        <f>+(C15+G15)/2</f>
        <v>146</v>
      </c>
      <c r="D29" s="8">
        <f>+(1332+D15)/2</f>
        <v>810</v>
      </c>
      <c r="E29" s="8">
        <f>+(3751+E15)/2</f>
        <v>2019.5</v>
      </c>
      <c r="F29" s="8">
        <f>+(6303+F15)/2</f>
        <v>3295.5</v>
      </c>
      <c r="G29" s="8">
        <f>+(G15+H15)/2</f>
        <v>1297.5</v>
      </c>
      <c r="H29" s="8">
        <f>+(2303+11932)/2</f>
        <v>7117.5</v>
      </c>
    </row>
    <row r="30" spans="1:8" ht="11.25">
      <c r="A30" s="3" t="s">
        <v>20</v>
      </c>
      <c r="B30" s="3"/>
      <c r="C30" s="9">
        <f>+(C24+G24)/2</f>
        <v>9080</v>
      </c>
      <c r="D30" s="9">
        <f>+(9101+D24)/2</f>
        <v>9090.5</v>
      </c>
      <c r="E30" s="9">
        <f>+(9139+E24)/2</f>
        <v>9229</v>
      </c>
      <c r="F30" s="9">
        <f>+(8924+F24)/2</f>
        <v>9156.5</v>
      </c>
      <c r="G30" s="9">
        <f>+(G24+H24)/2</f>
        <v>9365</v>
      </c>
      <c r="H30" s="9">
        <f>+(9206+5424)/2</f>
        <v>7315</v>
      </c>
    </row>
    <row r="31" spans="1:8" ht="11.25">
      <c r="A31" s="5" t="s">
        <v>23</v>
      </c>
      <c r="B31" s="7"/>
      <c r="C31" s="7"/>
      <c r="D31" s="7"/>
      <c r="E31" s="7"/>
      <c r="F31" s="7"/>
      <c r="G31" s="7"/>
      <c r="H31" s="7"/>
    </row>
    <row r="32" spans="1:8" ht="11.25">
      <c r="A32" s="7" t="s">
        <v>24</v>
      </c>
      <c r="B32" s="7"/>
      <c r="C32" s="8">
        <v>16577</v>
      </c>
      <c r="D32" s="8">
        <v>12882</v>
      </c>
      <c r="E32" s="8">
        <v>8674</v>
      </c>
      <c r="F32" s="8">
        <v>4402</v>
      </c>
      <c r="G32" s="8">
        <v>13292</v>
      </c>
      <c r="H32" s="8">
        <v>17453</v>
      </c>
    </row>
    <row r="33" spans="1:8" ht="11.25">
      <c r="A33" s="7" t="s">
        <v>25</v>
      </c>
      <c r="B33" s="7"/>
      <c r="C33" s="8">
        <v>14540</v>
      </c>
      <c r="D33" s="8">
        <v>11052</v>
      </c>
      <c r="E33" s="8">
        <v>7445</v>
      </c>
      <c r="F33" s="8">
        <v>3785</v>
      </c>
      <c r="G33" s="8">
        <v>15386</v>
      </c>
      <c r="H33" s="8">
        <v>13935</v>
      </c>
    </row>
    <row r="34" spans="1:8" ht="11.25">
      <c r="A34" s="7" t="s">
        <v>26</v>
      </c>
      <c r="B34" s="7"/>
      <c r="C34" s="8">
        <f aca="true" t="shared" si="5" ref="C34:H34">C32-C33</f>
        <v>2037</v>
      </c>
      <c r="D34" s="8">
        <f t="shared" si="5"/>
        <v>1830</v>
      </c>
      <c r="E34" s="8">
        <f t="shared" si="5"/>
        <v>1229</v>
      </c>
      <c r="F34" s="8">
        <f t="shared" si="5"/>
        <v>617</v>
      </c>
      <c r="G34" s="8">
        <f t="shared" si="5"/>
        <v>-2094</v>
      </c>
      <c r="H34" s="8">
        <f t="shared" si="5"/>
        <v>3518</v>
      </c>
    </row>
    <row r="35" spans="1:8" ht="11.25">
      <c r="A35" s="7" t="s">
        <v>27</v>
      </c>
      <c r="B35" s="7"/>
      <c r="C35" s="8">
        <v>1020</v>
      </c>
      <c r="D35" s="8">
        <v>582</v>
      </c>
      <c r="E35" s="8">
        <v>481</v>
      </c>
      <c r="F35" s="8">
        <v>114</v>
      </c>
      <c r="G35" s="8">
        <v>6170</v>
      </c>
      <c r="H35" s="8">
        <v>2433</v>
      </c>
    </row>
    <row r="36" spans="1:8" ht="11.25">
      <c r="A36" s="7" t="s">
        <v>28</v>
      </c>
      <c r="B36" s="7"/>
      <c r="C36" s="8">
        <f aca="true" t="shared" si="6" ref="C36:H36">C34+C35</f>
        <v>3057</v>
      </c>
      <c r="D36" s="8">
        <f t="shared" si="6"/>
        <v>2412</v>
      </c>
      <c r="E36" s="8">
        <f t="shared" si="6"/>
        <v>1710</v>
      </c>
      <c r="F36" s="8">
        <f t="shared" si="6"/>
        <v>731</v>
      </c>
      <c r="G36" s="8">
        <f t="shared" si="6"/>
        <v>4076</v>
      </c>
      <c r="H36" s="8">
        <f t="shared" si="6"/>
        <v>5951</v>
      </c>
    </row>
    <row r="37" spans="1:8" ht="11.25">
      <c r="A37" s="7" t="s">
        <v>29</v>
      </c>
      <c r="B37" s="7"/>
      <c r="C37" s="8">
        <v>3528</v>
      </c>
      <c r="D37" s="8">
        <v>2568</v>
      </c>
      <c r="E37" s="8">
        <v>1669</v>
      </c>
      <c r="F37" s="8">
        <v>840</v>
      </c>
      <c r="G37" s="8">
        <v>3018</v>
      </c>
      <c r="H37" s="8">
        <v>5043</v>
      </c>
    </row>
    <row r="38" spans="1:8" ht="11.25">
      <c r="A38" s="7" t="s">
        <v>30</v>
      </c>
      <c r="B38" s="7"/>
      <c r="C38" s="8">
        <f aca="true" t="shared" si="7" ref="C38:H38">C36-C37</f>
        <v>-471</v>
      </c>
      <c r="D38" s="8">
        <f t="shared" si="7"/>
        <v>-156</v>
      </c>
      <c r="E38" s="8">
        <f t="shared" si="7"/>
        <v>41</v>
      </c>
      <c r="F38" s="8">
        <f t="shared" si="7"/>
        <v>-109</v>
      </c>
      <c r="G38" s="8">
        <f t="shared" si="7"/>
        <v>1058</v>
      </c>
      <c r="H38" s="8">
        <f t="shared" si="7"/>
        <v>908</v>
      </c>
    </row>
    <row r="39" spans="1:8" ht="11.25">
      <c r="A39" s="3" t="s">
        <v>31</v>
      </c>
      <c r="B39" s="3"/>
      <c r="C39" s="9">
        <v>-769</v>
      </c>
      <c r="D39" s="9">
        <v>-442</v>
      </c>
      <c r="E39" s="9">
        <v>-202</v>
      </c>
      <c r="F39" s="9">
        <v>-134</v>
      </c>
      <c r="G39" s="9">
        <v>758</v>
      </c>
      <c r="H39" s="9">
        <v>672</v>
      </c>
    </row>
    <row r="40" spans="1:8" ht="11.25">
      <c r="A40" s="5" t="s">
        <v>32</v>
      </c>
      <c r="B40" s="7"/>
      <c r="C40" s="7"/>
      <c r="D40" s="7"/>
      <c r="E40" s="7"/>
      <c r="F40" s="7"/>
      <c r="G40" s="7"/>
      <c r="H40" s="7"/>
    </row>
    <row r="41" spans="1:8" ht="11.25">
      <c r="A41" s="7" t="s">
        <v>33</v>
      </c>
      <c r="B41" s="7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1.25">
      <c r="A42" s="7" t="s">
        <v>34</v>
      </c>
      <c r="B42" s="7"/>
      <c r="C42" s="8">
        <v>27683</v>
      </c>
      <c r="D42" s="8">
        <v>23883</v>
      </c>
      <c r="E42" s="8">
        <v>19029</v>
      </c>
      <c r="F42" s="8">
        <v>33549</v>
      </c>
      <c r="G42" s="8">
        <v>9237</v>
      </c>
      <c r="H42" s="8">
        <v>11911</v>
      </c>
    </row>
    <row r="43" spans="1:8" ht="11.25">
      <c r="A43" s="7" t="s">
        <v>35</v>
      </c>
      <c r="B43" s="7"/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</row>
    <row r="44" spans="1:8" ht="11.25">
      <c r="A44" s="7" t="s">
        <v>36</v>
      </c>
      <c r="B44" s="7"/>
      <c r="C44" s="10">
        <f aca="true" t="shared" si="8" ref="C44:H44">C42/C12</f>
        <v>0.19880642890998665</v>
      </c>
      <c r="D44" s="10">
        <f t="shared" si="8"/>
        <v>0.15987870024500944</v>
      </c>
      <c r="E44" s="10">
        <f t="shared" si="8"/>
        <v>0.12571515399759522</v>
      </c>
      <c r="F44" s="10">
        <f t="shared" si="8"/>
        <v>0.2126301645952301</v>
      </c>
      <c r="G44" s="10">
        <f t="shared" si="8"/>
        <v>0.05601237038384573</v>
      </c>
      <c r="H44" s="10">
        <f t="shared" si="8"/>
        <v>0.07366428973424947</v>
      </c>
    </row>
    <row r="45" spans="1:8" ht="11.25">
      <c r="A45" s="11" t="s">
        <v>37</v>
      </c>
      <c r="B45" s="7"/>
      <c r="C45" s="10">
        <f aca="true" t="shared" si="9" ref="C45:H45">C42/C12</f>
        <v>0.19880642890998665</v>
      </c>
      <c r="D45" s="10">
        <f t="shared" si="9"/>
        <v>0.15987870024500944</v>
      </c>
      <c r="E45" s="10">
        <f t="shared" si="9"/>
        <v>0.12571515399759522</v>
      </c>
      <c r="F45" s="10">
        <f t="shared" si="9"/>
        <v>0.2126301645952301</v>
      </c>
      <c r="G45" s="10">
        <f t="shared" si="9"/>
        <v>0.05601237038384573</v>
      </c>
      <c r="H45" s="10">
        <f t="shared" si="9"/>
        <v>0.07366428973424947</v>
      </c>
    </row>
    <row r="46" spans="1:8" ht="11.25">
      <c r="A46" s="7" t="s">
        <v>38</v>
      </c>
      <c r="B46" s="7"/>
      <c r="C46" s="10">
        <f>1657/C12</f>
        <v>0.011899803225945449</v>
      </c>
      <c r="D46" s="10">
        <f>1652/D12</f>
        <v>0.011058895984790672</v>
      </c>
      <c r="E46" s="10">
        <f>1646/E12</f>
        <v>0.010874304665512731</v>
      </c>
      <c r="F46" s="10">
        <f>1734/F12</f>
        <v>0.010989916403115712</v>
      </c>
      <c r="G46" s="10">
        <f>1746/G12</f>
        <v>0.010587593232672367</v>
      </c>
      <c r="H46" s="10">
        <f>1814/H12</f>
        <v>0.011218791165975026</v>
      </c>
    </row>
    <row r="47" spans="1:8" ht="11.25">
      <c r="A47" s="3" t="s">
        <v>39</v>
      </c>
      <c r="B47" s="3"/>
      <c r="C47" s="12"/>
      <c r="D47" s="12"/>
      <c r="E47" s="12"/>
      <c r="F47" s="12"/>
      <c r="G47" s="12"/>
      <c r="H47" s="12"/>
    </row>
    <row r="48" spans="1:8" ht="11.25">
      <c r="A48" s="5" t="s">
        <v>40</v>
      </c>
      <c r="B48" s="7"/>
      <c r="C48" s="7"/>
      <c r="D48" s="7"/>
      <c r="E48" s="7"/>
      <c r="F48" s="7"/>
      <c r="G48" s="7"/>
      <c r="H48" s="7"/>
    </row>
    <row r="49" spans="1:8" ht="11.25">
      <c r="A49" s="7" t="s">
        <v>41</v>
      </c>
      <c r="B49" s="7"/>
      <c r="C49" s="10">
        <f aca="true" t="shared" si="10" ref="C49:H49">+C30/C26</f>
        <v>0.05398110661268556</v>
      </c>
      <c r="D49" s="10">
        <f t="shared" si="10"/>
        <v>0.05129717147492417</v>
      </c>
      <c r="E49" s="10">
        <f t="shared" si="10"/>
        <v>0.050063060253054695</v>
      </c>
      <c r="F49" s="10">
        <f t="shared" si="10"/>
        <v>0.049057058665952315</v>
      </c>
      <c r="G49" s="10">
        <f t="shared" si="10"/>
        <v>0.051024021880669714</v>
      </c>
      <c r="H49" s="10">
        <f t="shared" si="10"/>
        <v>0.04798325997546721</v>
      </c>
    </row>
    <row r="50" spans="1:8" ht="11.25">
      <c r="A50" s="3" t="s">
        <v>42</v>
      </c>
      <c r="B50" s="3"/>
      <c r="C50" s="12">
        <f aca="true" t="shared" si="11" ref="C50:H50">+C30/C27</f>
        <v>0.05964893840655876</v>
      </c>
      <c r="D50" s="12">
        <f t="shared" si="11"/>
        <v>0.05654509207510318</v>
      </c>
      <c r="E50" s="12">
        <f t="shared" si="11"/>
        <v>0.05650731062183145</v>
      </c>
      <c r="F50" s="12">
        <f t="shared" si="11"/>
        <v>0.054466989072696016</v>
      </c>
      <c r="G50" s="12">
        <f t="shared" si="11"/>
        <v>0.0568958499140335</v>
      </c>
      <c r="H50" s="12">
        <f t="shared" si="11"/>
        <v>0.054249480866211806</v>
      </c>
    </row>
    <row r="51" spans="1:8" ht="11.25">
      <c r="A51" s="5" t="s">
        <v>43</v>
      </c>
      <c r="B51" s="7"/>
      <c r="C51" s="7"/>
      <c r="D51" s="7"/>
      <c r="E51" s="7"/>
      <c r="F51" s="7"/>
      <c r="G51" s="7"/>
      <c r="H51" s="7"/>
    </row>
    <row r="52" spans="1:8" ht="11.25">
      <c r="A52" s="7" t="s">
        <v>44</v>
      </c>
      <c r="B52" s="7"/>
      <c r="C52" s="10">
        <f aca="true" t="shared" si="12" ref="C52:H52">C11/C16</f>
        <v>0.03887411455664804</v>
      </c>
      <c r="D52" s="10">
        <f t="shared" si="12"/>
        <v>0.06975514460715912</v>
      </c>
      <c r="E52" s="10">
        <f t="shared" si="12"/>
        <v>0.08824336784610728</v>
      </c>
      <c r="F52" s="10">
        <f t="shared" si="12"/>
        <v>0.05326022187853589</v>
      </c>
      <c r="G52" s="10">
        <f t="shared" si="12"/>
        <v>0.029090861547110852</v>
      </c>
      <c r="H52" s="10">
        <f t="shared" si="12"/>
        <v>0.046415996989813746</v>
      </c>
    </row>
    <row r="53" spans="1:8" ht="11.25">
      <c r="A53" s="7" t="s">
        <v>45</v>
      </c>
      <c r="B53" s="7"/>
      <c r="C53" s="10">
        <f aca="true" t="shared" si="13" ref="C53:H53">C11/C10</f>
        <v>0.031429792550218626</v>
      </c>
      <c r="D53" s="10">
        <f t="shared" si="13"/>
        <v>0.056773622800306046</v>
      </c>
      <c r="E53" s="10">
        <f t="shared" si="13"/>
        <v>0.07260502449702909</v>
      </c>
      <c r="F53" s="10">
        <f t="shared" si="13"/>
        <v>0.04381857841625171</v>
      </c>
      <c r="G53" s="10">
        <f t="shared" si="13"/>
        <v>0.024141616349028096</v>
      </c>
      <c r="H53" s="10">
        <f t="shared" si="13"/>
        <v>0.03779965308367031</v>
      </c>
    </row>
    <row r="54" spans="1:8" ht="11.25">
      <c r="A54" s="3" t="s">
        <v>46</v>
      </c>
      <c r="B54" s="3"/>
      <c r="C54" s="12">
        <f aca="true" t="shared" si="14" ref="C54:H54">(C11+C15)/C16</f>
        <v>0.03887411455664804</v>
      </c>
      <c r="D54" s="12">
        <f t="shared" si="14"/>
        <v>0.0718702721757906</v>
      </c>
      <c r="E54" s="12">
        <f t="shared" si="14"/>
        <v>0.09027049474565892</v>
      </c>
      <c r="F54" s="12">
        <f t="shared" si="14"/>
        <v>0.05518843607099577</v>
      </c>
      <c r="G54" s="12">
        <f t="shared" si="14"/>
        <v>0.030999745046381946</v>
      </c>
      <c r="H54" s="12">
        <f t="shared" si="14"/>
        <v>0.061890235708334455</v>
      </c>
    </row>
    <row r="55" spans="1:8" ht="11.25">
      <c r="A55" s="5" t="s">
        <v>47</v>
      </c>
      <c r="B55" s="7"/>
      <c r="C55" s="7"/>
      <c r="D55" s="7"/>
      <c r="E55" s="7"/>
      <c r="F55" s="7"/>
      <c r="G55" s="7"/>
      <c r="H55" s="7"/>
    </row>
    <row r="56" spans="1:8" ht="11.25">
      <c r="A56" s="7" t="s">
        <v>48</v>
      </c>
      <c r="B56" s="7"/>
      <c r="C56" s="13">
        <f>C39/C27</f>
        <v>-0.0050517658187933575</v>
      </c>
      <c r="D56" s="13">
        <f>(D39/0.75)/D27</f>
        <v>-0.003665794796354525</v>
      </c>
      <c r="E56" s="13">
        <f>(E39/0.5)/E27</f>
        <v>-0.00247361073694007</v>
      </c>
      <c r="F56" s="10">
        <f>((F39)/0.25)/F27</f>
        <v>-0.0031883695891405084</v>
      </c>
      <c r="G56" s="10">
        <f>G39/G27</f>
        <v>0.004605131258391606</v>
      </c>
      <c r="H56" s="10">
        <f>H39/H27</f>
        <v>0.004983684366656778</v>
      </c>
    </row>
    <row r="57" spans="1:8" ht="11.25">
      <c r="A57" s="7" t="s">
        <v>49</v>
      </c>
      <c r="B57" s="7"/>
      <c r="C57" s="13">
        <f>C39/C26</f>
        <v>-0.004571747905854097</v>
      </c>
      <c r="D57" s="13">
        <f>(D39/0.75)/D26</f>
        <v>-0.003325574286990666</v>
      </c>
      <c r="E57" s="13">
        <f>(E39/0.5)/E26</f>
        <v>-0.0021915133104598652</v>
      </c>
      <c r="F57" s="10">
        <f>((F39)/0.25)/F26</f>
        <v>-0.0028716849718724885</v>
      </c>
      <c r="G57" s="10">
        <f>G39/G26</f>
        <v>0.004129867441062215</v>
      </c>
      <c r="H57" s="10">
        <f>H39/H26</f>
        <v>0.004408031538416126</v>
      </c>
    </row>
    <row r="58" spans="1:8" ht="11.25">
      <c r="A58" s="7" t="s">
        <v>50</v>
      </c>
      <c r="B58" s="7"/>
      <c r="C58" s="13">
        <f>+C39/C30</f>
        <v>-0.08469162995594713</v>
      </c>
      <c r="D58" s="13">
        <f>(D39/0.75)/D30</f>
        <v>-0.06482958399794658</v>
      </c>
      <c r="E58" s="13">
        <f>(E39/0.5)/E30</f>
        <v>-0.04377505688590313</v>
      </c>
      <c r="F58" s="10">
        <f>((F39)/0.25)/F30</f>
        <v>-0.058537650849123574</v>
      </c>
      <c r="G58" s="10">
        <f>G39/G30</f>
        <v>0.0809396689802456</v>
      </c>
      <c r="H58" s="10">
        <f>H39/H30</f>
        <v>0.09186602870813397</v>
      </c>
    </row>
    <row r="59" spans="1:8" ht="11.25">
      <c r="A59" s="7" t="s">
        <v>51</v>
      </c>
      <c r="B59" s="7"/>
      <c r="C59" s="13">
        <f>C32/C26</f>
        <v>0.09855118990291724</v>
      </c>
      <c r="D59" s="13">
        <f>(D32/0.75)/D26</f>
        <v>0.0969231854412076</v>
      </c>
      <c r="E59" s="13">
        <f>(E32/0.5)/E26</f>
        <v>0.09410488344024194</v>
      </c>
      <c r="F59" s="10">
        <f>((F32)/0.25)/F26</f>
        <v>0.09433699437449772</v>
      </c>
      <c r="G59" s="10">
        <f>G32/G26</f>
        <v>0.07241978631477436</v>
      </c>
      <c r="H59" s="10">
        <f>H32/H26</f>
        <v>0.11448418815472715</v>
      </c>
    </row>
    <row r="60" spans="1:8" ht="11.25">
      <c r="A60" s="7" t="s">
        <v>52</v>
      </c>
      <c r="B60" s="7"/>
      <c r="C60" s="13">
        <f>C33/C26</f>
        <v>0.08644111124982908</v>
      </c>
      <c r="D60" s="13">
        <f>(D33/0.75)/D26</f>
        <v>0.08315440502221909</v>
      </c>
      <c r="E60" s="13">
        <f>(E33/0.5)/E26</f>
        <v>0.0807713692889787</v>
      </c>
      <c r="F60" s="10">
        <f>((F33)/0.25)/F26</f>
        <v>0.08111438521296545</v>
      </c>
      <c r="G60" s="10">
        <f>G33/G26</f>
        <v>0.08382868133005704</v>
      </c>
      <c r="H60" s="10">
        <f>H33/H26</f>
        <v>0.0914076182854594</v>
      </c>
    </row>
    <row r="61" spans="1:8" ht="11.25">
      <c r="A61" s="7" t="s">
        <v>53</v>
      </c>
      <c r="B61" s="7"/>
      <c r="C61" s="13">
        <f>C34/C26</f>
        <v>0.01211007865308816</v>
      </c>
      <c r="D61" s="13">
        <f>(D34/0.75)/D26</f>
        <v>0.013768780418988503</v>
      </c>
      <c r="E61" s="13">
        <f>(E34/0.5)/E26</f>
        <v>0.01333351415126324</v>
      </c>
      <c r="F61" s="10">
        <f>((F34)/0.25)/F26</f>
        <v>0.01322260916153228</v>
      </c>
      <c r="G61" s="10">
        <f>G34/G26</f>
        <v>-0.011408895015282689</v>
      </c>
      <c r="H61" s="10">
        <f>H34/H26</f>
        <v>0.023076569869267757</v>
      </c>
    </row>
    <row r="62" spans="1:8" ht="11.25">
      <c r="A62" s="7" t="s">
        <v>54</v>
      </c>
      <c r="B62" s="7"/>
      <c r="C62" s="13">
        <f>C37/C36</f>
        <v>1.154072620215898</v>
      </c>
      <c r="D62" s="13">
        <f>(D37/0.75)/(D36/0.75)</f>
        <v>1.064676616915423</v>
      </c>
      <c r="E62" s="13">
        <f>(E37/0.5)/(E36/0.5)</f>
        <v>0.9760233918128655</v>
      </c>
      <c r="F62" s="10">
        <f>(F37/0.25)/(F36/0.25)</f>
        <v>1.1491108071135432</v>
      </c>
      <c r="G62" s="10">
        <f>G37/G36</f>
        <v>0.7404317958783121</v>
      </c>
      <c r="H62" s="10">
        <f>H37/H36</f>
        <v>0.8474206015795664</v>
      </c>
    </row>
    <row r="63" spans="1:8" ht="11.25">
      <c r="A63" s="3" t="s">
        <v>55</v>
      </c>
      <c r="B63" s="3"/>
      <c r="C63" s="14">
        <f>C35/C26</f>
        <v>0.006063956910235603</v>
      </c>
      <c r="D63" s="14">
        <f>(D35/0.75)/D26</f>
        <v>0.004378923608661918</v>
      </c>
      <c r="E63" s="14">
        <f>(E35/0.5)/E26</f>
        <v>0.005218405457085125</v>
      </c>
      <c r="F63" s="12">
        <f>(F35/0.25)/F26</f>
        <v>0.0024430752745780875</v>
      </c>
      <c r="G63" s="12">
        <f>G35/G26</f>
        <v>0.033616467165374496</v>
      </c>
      <c r="H63" s="12">
        <f>H35/H26</f>
        <v>0.015959435614533383</v>
      </c>
    </row>
    <row r="64" spans="1:8" ht="11.25">
      <c r="A64" s="5" t="s">
        <v>56</v>
      </c>
      <c r="B64" s="7"/>
      <c r="C64" s="7"/>
      <c r="D64" s="7"/>
      <c r="E64" s="7"/>
      <c r="F64" s="7"/>
      <c r="G64" s="7"/>
      <c r="H64" s="7"/>
    </row>
    <row r="65" spans="1:8" ht="11.25">
      <c r="A65" s="7" t="s">
        <v>57</v>
      </c>
      <c r="B65" s="7"/>
      <c r="C65" s="8">
        <v>7</v>
      </c>
      <c r="D65" s="8">
        <v>7</v>
      </c>
      <c r="E65" s="8">
        <v>7</v>
      </c>
      <c r="F65" s="8">
        <v>8</v>
      </c>
      <c r="G65" s="8">
        <v>8</v>
      </c>
      <c r="H65" s="8">
        <v>4</v>
      </c>
    </row>
    <row r="66" spans="1:8" ht="11.25">
      <c r="A66" s="7" t="s">
        <v>58</v>
      </c>
      <c r="B66" s="7"/>
      <c r="C66" s="8">
        <v>1</v>
      </c>
      <c r="D66" s="8">
        <v>1</v>
      </c>
      <c r="E66" s="8">
        <v>1</v>
      </c>
      <c r="F66" s="8">
        <v>1</v>
      </c>
      <c r="G66" s="8">
        <v>1</v>
      </c>
      <c r="H66" s="8">
        <v>1</v>
      </c>
    </row>
    <row r="67" spans="1:8" ht="11.25">
      <c r="A67" s="7" t="s">
        <v>59</v>
      </c>
      <c r="B67" s="7"/>
      <c r="C67" s="8">
        <f aca="true" t="shared" si="15" ref="C67:H67">C12/C65</f>
        <v>19892.285714285714</v>
      </c>
      <c r="D67" s="8">
        <f t="shared" si="15"/>
        <v>21340.285714285714</v>
      </c>
      <c r="E67" s="8">
        <f t="shared" si="15"/>
        <v>21623.714285714286</v>
      </c>
      <c r="F67" s="8">
        <f t="shared" si="15"/>
        <v>19722.625</v>
      </c>
      <c r="G67" s="8">
        <f t="shared" si="15"/>
        <v>20613.75</v>
      </c>
      <c r="H67" s="8">
        <f t="shared" si="15"/>
        <v>40423.25</v>
      </c>
    </row>
    <row r="68" spans="1:8" ht="11.25">
      <c r="A68" s="7" t="s">
        <v>60</v>
      </c>
      <c r="B68" s="7"/>
      <c r="C68" s="8">
        <f aca="true" t="shared" si="16" ref="C68:H68">+C16/C65</f>
        <v>17565.85714285714</v>
      </c>
      <c r="D68" s="8">
        <f t="shared" si="16"/>
        <v>19451.714285714286</v>
      </c>
      <c r="E68" s="8">
        <f t="shared" si="16"/>
        <v>20296.14285714286</v>
      </c>
      <c r="F68" s="8">
        <f t="shared" si="16"/>
        <v>18670.125</v>
      </c>
      <c r="G68" s="8">
        <f t="shared" si="16"/>
        <v>19121.125</v>
      </c>
      <c r="H68" s="8">
        <f t="shared" si="16"/>
        <v>37207</v>
      </c>
    </row>
    <row r="69" spans="1:8" ht="11.25">
      <c r="A69" s="3" t="s">
        <v>61</v>
      </c>
      <c r="B69" s="3"/>
      <c r="C69" s="9">
        <f aca="true" t="shared" si="17" ref="C69:H69">+C39/C65</f>
        <v>-109.85714285714286</v>
      </c>
      <c r="D69" s="9">
        <f t="shared" si="17"/>
        <v>-63.142857142857146</v>
      </c>
      <c r="E69" s="9">
        <f t="shared" si="17"/>
        <v>-28.857142857142858</v>
      </c>
      <c r="F69" s="9">
        <f t="shared" si="17"/>
        <v>-16.75</v>
      </c>
      <c r="G69" s="9">
        <f t="shared" si="17"/>
        <v>94.75</v>
      </c>
      <c r="H69" s="9">
        <f t="shared" si="17"/>
        <v>168</v>
      </c>
    </row>
    <row r="70" spans="1:8" ht="11.25">
      <c r="A70" s="5" t="s">
        <v>62</v>
      </c>
      <c r="B70" s="7"/>
      <c r="C70" s="7"/>
      <c r="D70" s="7"/>
      <c r="E70" s="7"/>
      <c r="F70" s="7"/>
      <c r="G70" s="7"/>
      <c r="H70" s="7"/>
    </row>
    <row r="71" spans="1:8" ht="11.25">
      <c r="A71" s="7" t="s">
        <v>63</v>
      </c>
      <c r="B71" s="7"/>
      <c r="C71" s="10">
        <f>+(C10/G10)-1</f>
        <v>-0.17492635450742966</v>
      </c>
      <c r="D71" s="10">
        <f>+(D10/187129)-1</f>
        <v>-0.1059857103922962</v>
      </c>
      <c r="E71" s="10">
        <f>+(E10/196021)-1</f>
        <v>-0.1191045857331613</v>
      </c>
      <c r="F71" s="10">
        <f>+(F10/191756)-1</f>
        <v>-0.0532551784559544</v>
      </c>
      <c r="G71" s="10">
        <f>+(G10/H10)-1</f>
        <v>0.008623661444682185</v>
      </c>
      <c r="H71" s="10">
        <f>+(H10/122145)-1</f>
        <v>0.4961971427401859</v>
      </c>
    </row>
    <row r="72" spans="1:8" ht="11.25">
      <c r="A72" s="7" t="s">
        <v>64</v>
      </c>
      <c r="B72" s="7"/>
      <c r="C72" s="10">
        <f aca="true" t="shared" si="18" ref="C72:H72">SUM(C73:C74)</f>
        <v>-0.15562427991025407</v>
      </c>
      <c r="D72" s="10">
        <f t="shared" si="18"/>
        <v>-0.12400823320373666</v>
      </c>
      <c r="E72" s="10">
        <f t="shared" si="18"/>
        <v>-0.11607481765678018</v>
      </c>
      <c r="F72" s="10">
        <f t="shared" si="18"/>
        <v>-0.08186790805935407</v>
      </c>
      <c r="G72" s="10">
        <f t="shared" si="18"/>
        <v>0.019895728324664574</v>
      </c>
      <c r="H72" s="10">
        <f t="shared" si="18"/>
        <v>-0.999989333560884</v>
      </c>
    </row>
    <row r="73" spans="1:8" ht="11.25">
      <c r="A73" s="7"/>
      <c r="B73" s="7" t="s">
        <v>13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</row>
    <row r="74" spans="1:8" ht="11.25">
      <c r="A74" s="7"/>
      <c r="B74" s="7" t="s">
        <v>14</v>
      </c>
      <c r="C74" s="10">
        <f>+(C14/G14)-1</f>
        <v>-0.15562427991025407</v>
      </c>
      <c r="D74" s="10">
        <f>+(D14/170529)-1</f>
        <v>-0.12400823320373666</v>
      </c>
      <c r="E74" s="10">
        <f>+(E14/171243)-1</f>
        <v>-0.11607481765678018</v>
      </c>
      <c r="F74" s="10">
        <f>+(F14/171850)-1</f>
        <v>-0.08186790805935407</v>
      </c>
      <c r="G74" s="10">
        <f>+(G14/H14)-1</f>
        <v>0.019895728324664574</v>
      </c>
      <c r="H74" s="10">
        <f>+(H14/161693/93752)-1</f>
        <v>-0.999989333560884</v>
      </c>
    </row>
    <row r="75" spans="1:8" ht="11.25">
      <c r="A75" s="7" t="s">
        <v>65</v>
      </c>
      <c r="B75" s="7"/>
      <c r="C75" s="10">
        <f aca="true" t="shared" si="19" ref="C75:H75">SUM(C76:C77)</f>
        <v>-0.19617046591139387</v>
      </c>
      <c r="D75" s="10">
        <f t="shared" si="19"/>
        <v>-0.12249790552297479</v>
      </c>
      <c r="E75" s="10">
        <f t="shared" si="19"/>
        <v>-0.13221964329342784</v>
      </c>
      <c r="F75" s="10">
        <f t="shared" si="19"/>
        <v>-0.05537671471125816</v>
      </c>
      <c r="G75" s="10">
        <f t="shared" si="19"/>
        <v>0.02782406536404447</v>
      </c>
      <c r="H75" s="10">
        <f t="shared" si="19"/>
        <v>0.39404271262645185</v>
      </c>
    </row>
    <row r="76" spans="1:8" ht="11.25">
      <c r="A76" s="7"/>
      <c r="B76" s="7" t="s">
        <v>13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</row>
    <row r="77" spans="1:8" ht="11.25">
      <c r="A77" s="7"/>
      <c r="B77" s="7" t="s">
        <v>14</v>
      </c>
      <c r="C77" s="10">
        <f>+(C21/G21)-1</f>
        <v>-0.19617046591139387</v>
      </c>
      <c r="D77" s="10">
        <f>+(D21/155170)-1</f>
        <v>-0.12249790552297479</v>
      </c>
      <c r="E77" s="10">
        <f>+(E21/163720)-1</f>
        <v>-0.13221964329342784</v>
      </c>
      <c r="F77" s="10">
        <f>+(F21/158117)-1</f>
        <v>-0.05537671471125816</v>
      </c>
      <c r="G77" s="10">
        <f>+(G21/H21)-1</f>
        <v>0.02782406536404447</v>
      </c>
      <c r="H77" s="10">
        <f>+(H21/106760)-1</f>
        <v>0.39404271262645185</v>
      </c>
    </row>
    <row r="78" spans="1:8" ht="11.25">
      <c r="A78" s="7" t="s">
        <v>66</v>
      </c>
      <c r="B78" s="7"/>
      <c r="C78" s="15">
        <f>+(C24/G24)-1</f>
        <v>-0.0932381352372953</v>
      </c>
      <c r="D78" s="15">
        <f>+(D24/9101)-1</f>
        <v>-0.002307438742995327</v>
      </c>
      <c r="E78" s="15">
        <f>+(E24/9139)-1</f>
        <v>0.019695809169493428</v>
      </c>
      <c r="F78" s="15">
        <f>+(E24/8924)-1</f>
        <v>0.04426266248319144</v>
      </c>
      <c r="G78" s="15">
        <f>+(G24/H24)-1</f>
        <v>0.03454268955029338</v>
      </c>
      <c r="H78" s="15">
        <f>+(H24/5424)-1</f>
        <v>0.6972713864306785</v>
      </c>
    </row>
    <row r="79" spans="1:8" ht="11.25">
      <c r="A79" s="3" t="s">
        <v>67</v>
      </c>
      <c r="B79" s="3"/>
      <c r="C79" s="12">
        <f>+(C39/G39)-1</f>
        <v>-2.0145118733509237</v>
      </c>
      <c r="D79" s="12">
        <f>+(D39/335)-1</f>
        <v>-2.319402985074627</v>
      </c>
      <c r="E79" s="12">
        <f>+(E39/373)-1</f>
        <v>-1.5415549597855227</v>
      </c>
      <c r="F79" s="12">
        <f>+(F39/220)-1</f>
        <v>-1.6090909090909091</v>
      </c>
      <c r="G79" s="12">
        <f>+(G39/H39)-1</f>
        <v>0.12797619047619047</v>
      </c>
      <c r="H79" s="12">
        <f>+(H39/33)-1</f>
        <v>19.363636363636363</v>
      </c>
    </row>
    <row r="80" spans="1:8" ht="9">
      <c r="A80" s="2"/>
      <c r="B80" s="2"/>
      <c r="C80" s="2"/>
      <c r="D80" s="2"/>
      <c r="E80" s="2"/>
      <c r="F80" s="2"/>
      <c r="G80" s="2"/>
      <c r="H80" s="2"/>
    </row>
    <row r="81" spans="1:8" ht="9">
      <c r="A81" s="2"/>
      <c r="B81" s="2"/>
      <c r="C81" s="2"/>
      <c r="D81" s="2"/>
      <c r="E81" s="2"/>
      <c r="F81" s="2"/>
      <c r="G81" s="2"/>
      <c r="H81" s="2"/>
    </row>
    <row r="82" spans="1:8" ht="9">
      <c r="A82" s="2"/>
      <c r="B82" s="2"/>
      <c r="C82" s="2"/>
      <c r="D82" s="2"/>
      <c r="E82" s="2"/>
      <c r="F82" s="2"/>
      <c r="G82" s="2"/>
      <c r="H82" s="2"/>
    </row>
    <row r="83" spans="1:8" ht="9">
      <c r="A83" s="2"/>
      <c r="B83" s="2"/>
      <c r="C83" s="2"/>
      <c r="D83" s="2"/>
      <c r="E83" s="2"/>
      <c r="F83" s="2"/>
      <c r="G83" s="2"/>
      <c r="H83" s="2"/>
    </row>
    <row r="84" spans="1:8" ht="9">
      <c r="A84" s="2"/>
      <c r="B84" s="2"/>
      <c r="C84" s="2"/>
      <c r="D84" s="2"/>
      <c r="E84" s="2"/>
      <c r="F84" s="2"/>
      <c r="G84" s="2"/>
      <c r="H84" s="2"/>
    </row>
    <row r="85" spans="1:8" ht="9">
      <c r="A85" s="2"/>
      <c r="B85" s="2"/>
      <c r="C85" s="2"/>
      <c r="D85" s="2"/>
      <c r="E85" s="2"/>
      <c r="F85" s="2"/>
      <c r="G85" s="2"/>
      <c r="H85" s="2"/>
    </row>
    <row r="86" spans="1:8" ht="9">
      <c r="A86" s="2"/>
      <c r="B86" s="2"/>
      <c r="C86" s="2"/>
      <c r="D86" s="2"/>
      <c r="E86" s="2"/>
      <c r="F86" s="2"/>
      <c r="G86" s="2"/>
      <c r="H86" s="2"/>
    </row>
    <row r="87" spans="1:8" ht="9">
      <c r="A87" s="2"/>
      <c r="B87" s="2"/>
      <c r="C87" s="2"/>
      <c r="D87" s="2"/>
      <c r="E87" s="2"/>
      <c r="F87" s="2"/>
      <c r="G87" s="2"/>
      <c r="H87" s="2"/>
    </row>
    <row r="88" spans="1:8" ht="9">
      <c r="A88" s="2"/>
      <c r="B88" s="2"/>
      <c r="C88" s="2"/>
      <c r="D88" s="2"/>
      <c r="E88" s="2"/>
      <c r="F88" s="2"/>
      <c r="G88" s="2"/>
      <c r="H88" s="2"/>
    </row>
    <row r="89" spans="1:8" ht="9">
      <c r="A89" s="2"/>
      <c r="B89" s="2"/>
      <c r="C89" s="2"/>
      <c r="D89" s="2"/>
      <c r="E89" s="2"/>
      <c r="F89" s="2"/>
      <c r="G89" s="2"/>
      <c r="H89" s="2"/>
    </row>
    <row r="90" spans="1:8" ht="9">
      <c r="A90" s="2"/>
      <c r="B90" s="2"/>
      <c r="C90" s="2"/>
      <c r="D90" s="2"/>
      <c r="E90" s="2"/>
      <c r="F90" s="2"/>
      <c r="G90" s="2"/>
      <c r="H90" s="2"/>
    </row>
    <row r="91" spans="1:8" ht="9">
      <c r="A91" s="2"/>
      <c r="B91" s="2"/>
      <c r="C91" s="2"/>
      <c r="D91" s="2"/>
      <c r="E91" s="2"/>
      <c r="F91" s="2"/>
      <c r="G91" s="2"/>
      <c r="H91" s="2"/>
    </row>
    <row r="92" spans="1:8" ht="9">
      <c r="A92" s="2"/>
      <c r="B92" s="2"/>
      <c r="C92" s="2"/>
      <c r="D92" s="2"/>
      <c r="E92" s="2"/>
      <c r="F92" s="2"/>
      <c r="G92" s="2"/>
      <c r="H92" s="2"/>
    </row>
  </sheetData>
  <sheetProtection password="CD66" sheet="1" objects="1" scenarios="1"/>
  <printOptions horizontalCentered="1"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2002-05-03T14:28:40Z</cp:lastPrinted>
  <dcterms:created xsi:type="dcterms:W3CDTF">2002-03-08T15:57:24Z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